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n.cahill1\Documents\CMP316\Sendback 2025\"/>
    </mc:Choice>
  </mc:AlternateContent>
  <xr:revisionPtr revIDLastSave="0" documentId="13_ncr:1_{C466154A-0144-4E54-823B-19FD9A7D732F}" xr6:coauthVersionLast="47" xr6:coauthVersionMax="47" xr10:uidLastSave="{00000000-0000-0000-0000-000000000000}"/>
  <bookViews>
    <workbookView xWindow="-110" yWindow="-110" windowWidth="19420" windowHeight="10420" tabRatio="728" xr2:uid="{497BCAC1-C106-4AA6-A07A-A46FC1D51881}"/>
  </bookViews>
  <sheets>
    <sheet name="New methodology WACM1 (Input)" sheetId="9" r:id="rId1"/>
    <sheet name="New WACM 1 No MTPSTEC" sheetId="11" r:id="rId2"/>
    <sheet name="WACM1 old methodology" sheetId="3" r:id="rId3"/>
    <sheet name="Original" sheetId="12" r:id="rId4"/>
    <sheet name="Original ALF MTPSTEC" sheetId="15" r:id="rId5"/>
    <sheet name="Baseline" sheetId="14" r:id="rId6"/>
    <sheet name="Technology Types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9" l="1"/>
  <c r="F4" i="9" s="1"/>
  <c r="E4" i="15"/>
  <c r="J4" i="11"/>
  <c r="E5" i="9"/>
  <c r="F5" i="9" s="1"/>
  <c r="E5" i="15"/>
  <c r="E6" i="9"/>
  <c r="F6" i="9" s="1"/>
  <c r="E6" i="15"/>
  <c r="E10" i="15"/>
  <c r="D10" i="15"/>
  <c r="C10" i="15"/>
  <c r="B10" i="15"/>
  <c r="D6" i="15"/>
  <c r="C21" i="15" s="1"/>
  <c r="C6" i="15"/>
  <c r="O6" i="15" s="1"/>
  <c r="B6" i="15"/>
  <c r="C15" i="15" s="1"/>
  <c r="D5" i="15"/>
  <c r="C5" i="15"/>
  <c r="O5" i="15" s="1"/>
  <c r="B5" i="15"/>
  <c r="H4" i="15"/>
  <c r="D4" i="15"/>
  <c r="C4" i="15"/>
  <c r="O4" i="15" s="1"/>
  <c r="B4" i="15"/>
  <c r="L3" i="15"/>
  <c r="H3" i="15"/>
  <c r="B10" i="11"/>
  <c r="C10" i="11"/>
  <c r="D10" i="11"/>
  <c r="Q5" i="15" l="1"/>
  <c r="B15" i="15"/>
  <c r="E15" i="15" s="1"/>
  <c r="B13" i="15"/>
  <c r="C13" i="15" s="1"/>
  <c r="E13" i="15" s="1"/>
  <c r="B19" i="15"/>
  <c r="C19" i="15" s="1"/>
  <c r="B21" i="15"/>
  <c r="E21" i="15" s="1"/>
  <c r="P4" i="15"/>
  <c r="Q4" i="15"/>
  <c r="Q6" i="15"/>
  <c r="P6" i="15"/>
  <c r="B20" i="15"/>
  <c r="B14" i="15"/>
  <c r="C14" i="15" s="1"/>
  <c r="P5" i="15"/>
  <c r="E10" i="11"/>
  <c r="B4" i="11"/>
  <c r="B5" i="11"/>
  <c r="B6" i="11"/>
  <c r="G13" i="15" l="1"/>
  <c r="G15" i="15"/>
  <c r="G21" i="15"/>
  <c r="G20" i="15"/>
  <c r="C20" i="15"/>
  <c r="E20" i="15" s="1"/>
  <c r="G19" i="15"/>
  <c r="G14" i="15"/>
  <c r="E19" i="15"/>
  <c r="E14" i="15"/>
  <c r="H4" i="12"/>
  <c r="E5" i="14"/>
  <c r="E6" i="14"/>
  <c r="E4" i="14"/>
  <c r="B4" i="12"/>
  <c r="B5" i="12"/>
  <c r="B6" i="12"/>
  <c r="D6" i="3"/>
  <c r="D5" i="14"/>
  <c r="M3" i="9"/>
  <c r="E10" i="14"/>
  <c r="D10" i="14"/>
  <c r="C10" i="14"/>
  <c r="B10" i="14"/>
  <c r="C6" i="14"/>
  <c r="O6" i="14" s="1"/>
  <c r="B6" i="14"/>
  <c r="C5" i="14"/>
  <c r="O5" i="14" s="1"/>
  <c r="B5" i="14"/>
  <c r="C4" i="14"/>
  <c r="O4" i="14" s="1"/>
  <c r="B4" i="14"/>
  <c r="L3" i="14"/>
  <c r="H3" i="14"/>
  <c r="L3" i="12"/>
  <c r="J3" i="11"/>
  <c r="E10" i="12"/>
  <c r="D10" i="12"/>
  <c r="C10" i="12"/>
  <c r="B10" i="12"/>
  <c r="C6" i="12"/>
  <c r="O6" i="12" s="1"/>
  <c r="C5" i="12"/>
  <c r="O5" i="12" s="1"/>
  <c r="C4" i="12"/>
  <c r="O4" i="12" s="1"/>
  <c r="H3" i="12"/>
  <c r="C5" i="11"/>
  <c r="Y5" i="11" s="1"/>
  <c r="C6" i="11"/>
  <c r="Y6" i="11" s="1"/>
  <c r="C4" i="11"/>
  <c r="Y4" i="11" s="1"/>
  <c r="B15" i="11" l="1"/>
  <c r="E5" i="12"/>
  <c r="Q5" i="12" s="1"/>
  <c r="H4" i="14"/>
  <c r="E6" i="12"/>
  <c r="Q6" i="12" s="1"/>
  <c r="G5" i="11"/>
  <c r="E24" i="11" s="1"/>
  <c r="G6" i="11"/>
  <c r="B25" i="11" s="1"/>
  <c r="E4" i="12"/>
  <c r="Q4" i="12" s="1"/>
  <c r="G4" i="11"/>
  <c r="E23" i="11" s="1"/>
  <c r="P6" i="14"/>
  <c r="A14" i="14"/>
  <c r="B14" i="14" s="1"/>
  <c r="C14" i="14" s="1"/>
  <c r="D4" i="11"/>
  <c r="D6" i="12"/>
  <c r="C21" i="12" s="1"/>
  <c r="D6" i="14"/>
  <c r="D6" i="11"/>
  <c r="F6" i="11" s="1"/>
  <c r="D4" i="12"/>
  <c r="C13" i="12" s="1"/>
  <c r="D4" i="14"/>
  <c r="D5" i="12"/>
  <c r="C14" i="12" s="1"/>
  <c r="D5" i="11"/>
  <c r="F5" i="11" s="1"/>
  <c r="B14" i="12"/>
  <c r="G14" i="12" s="1"/>
  <c r="B13" i="12"/>
  <c r="G13" i="12" s="1"/>
  <c r="Q5" i="14"/>
  <c r="P5" i="14"/>
  <c r="P4" i="14"/>
  <c r="Q4" i="14"/>
  <c r="Q6" i="14"/>
  <c r="B15" i="12"/>
  <c r="E6" i="11"/>
  <c r="P5" i="12"/>
  <c r="P4" i="12"/>
  <c r="P6" i="12"/>
  <c r="E4" i="11"/>
  <c r="E5" i="11"/>
  <c r="E24" i="9"/>
  <c r="E25" i="9"/>
  <c r="E23" i="9"/>
  <c r="B18" i="9"/>
  <c r="B17" i="9"/>
  <c r="B15" i="9"/>
  <c r="Y5" i="9"/>
  <c r="L5" i="15" s="1"/>
  <c r="Y6" i="9"/>
  <c r="L6" i="15" s="1"/>
  <c r="Y4" i="9"/>
  <c r="L4" i="15" s="1"/>
  <c r="C10" i="3"/>
  <c r="D10" i="3"/>
  <c r="E10" i="3"/>
  <c r="B10" i="3"/>
  <c r="H4" i="3"/>
  <c r="H3" i="3"/>
  <c r="E5" i="3"/>
  <c r="E6" i="3"/>
  <c r="E4" i="3"/>
  <c r="B5" i="3"/>
  <c r="C5" i="3"/>
  <c r="O5" i="3" s="1"/>
  <c r="D5" i="3"/>
  <c r="B6" i="3"/>
  <c r="C6" i="3"/>
  <c r="O6" i="3" s="1"/>
  <c r="C4" i="3"/>
  <c r="O4" i="3" s="1"/>
  <c r="D4" i="3"/>
  <c r="B4" i="3"/>
  <c r="D14" i="15" l="1"/>
  <c r="D20" i="15"/>
  <c r="F14" i="15"/>
  <c r="F20" i="15"/>
  <c r="F19" i="15"/>
  <c r="D19" i="15"/>
  <c r="F13" i="15"/>
  <c r="D13" i="15"/>
  <c r="F15" i="15"/>
  <c r="F21" i="15"/>
  <c r="D15" i="15"/>
  <c r="D21" i="15"/>
  <c r="B18" i="11"/>
  <c r="B17" i="11"/>
  <c r="B24" i="11"/>
  <c r="E25" i="11"/>
  <c r="E26" i="11" s="1"/>
  <c r="C25" i="11"/>
  <c r="C24" i="11"/>
  <c r="B23" i="11"/>
  <c r="H6" i="14"/>
  <c r="C19" i="14" s="1"/>
  <c r="D19" i="14" s="1"/>
  <c r="B19" i="12"/>
  <c r="G19" i="12" s="1"/>
  <c r="B21" i="12"/>
  <c r="G21" i="12" s="1"/>
  <c r="B20" i="12"/>
  <c r="G20" i="12" s="1"/>
  <c r="D24" i="11"/>
  <c r="M3" i="11"/>
  <c r="B16" i="11" s="1"/>
  <c r="D25" i="11"/>
  <c r="E14" i="12"/>
  <c r="F4" i="11"/>
  <c r="D23" i="11" s="1"/>
  <c r="C19" i="12"/>
  <c r="C20" i="12"/>
  <c r="C15" i="12"/>
  <c r="E15" i="12" s="1"/>
  <c r="E13" i="12"/>
  <c r="P4" i="3"/>
  <c r="B25" i="9"/>
  <c r="L6" i="14"/>
  <c r="L6" i="12"/>
  <c r="L5" i="14"/>
  <c r="L5" i="12"/>
  <c r="B24" i="9"/>
  <c r="L4" i="12"/>
  <c r="L4" i="14"/>
  <c r="B23" i="9"/>
  <c r="G15" i="12"/>
  <c r="B21" i="3"/>
  <c r="I21" i="3" s="1"/>
  <c r="B20" i="3"/>
  <c r="I20" i="3" s="1"/>
  <c r="B19" i="3"/>
  <c r="I19" i="3" s="1"/>
  <c r="P5" i="3"/>
  <c r="Q5" i="3"/>
  <c r="Q4" i="3"/>
  <c r="Q6" i="3"/>
  <c r="P6" i="3"/>
  <c r="D23" i="9"/>
  <c r="B16" i="9"/>
  <c r="H13" i="15" l="1"/>
  <c r="F25" i="15" s="1"/>
  <c r="H19" i="15"/>
  <c r="H14" i="15"/>
  <c r="G26" i="15" s="1"/>
  <c r="H21" i="15"/>
  <c r="H15" i="15"/>
  <c r="H20" i="15"/>
  <c r="B26" i="11"/>
  <c r="B30" i="11" s="1"/>
  <c r="B38" i="11" s="1"/>
  <c r="C39" i="9" s="1"/>
  <c r="B33" i="11"/>
  <c r="B41" i="11" s="1"/>
  <c r="C42" i="9" s="1"/>
  <c r="G42" i="9"/>
  <c r="C17" i="14"/>
  <c r="F18" i="14" s="1"/>
  <c r="C18" i="14"/>
  <c r="G18" i="14" s="1"/>
  <c r="E19" i="12"/>
  <c r="E21" i="12"/>
  <c r="E20" i="12"/>
  <c r="G19" i="14"/>
  <c r="D26" i="11"/>
  <c r="C23" i="11"/>
  <c r="C26" i="11" s="1"/>
  <c r="F19" i="14"/>
  <c r="D21" i="12"/>
  <c r="F21" i="12"/>
  <c r="F15" i="12"/>
  <c r="D15" i="12"/>
  <c r="D20" i="12"/>
  <c r="F20" i="12"/>
  <c r="D14" i="12"/>
  <c r="F14" i="12"/>
  <c r="D19" i="12"/>
  <c r="D13" i="12"/>
  <c r="F13" i="12"/>
  <c r="F19" i="12"/>
  <c r="C23" i="9"/>
  <c r="D25" i="9"/>
  <c r="C25" i="9"/>
  <c r="D24" i="9"/>
  <c r="C24" i="9"/>
  <c r="C14" i="3"/>
  <c r="G14" i="3" s="1"/>
  <c r="C20" i="3"/>
  <c r="G20" i="3" s="1"/>
  <c r="C15" i="3"/>
  <c r="G15" i="3" s="1"/>
  <c r="C13" i="3"/>
  <c r="G13" i="3" s="1"/>
  <c r="C21" i="3"/>
  <c r="G21" i="3" s="1"/>
  <c r="C19" i="3"/>
  <c r="G19" i="3" s="1"/>
  <c r="E26" i="9"/>
  <c r="B33" i="9" s="1"/>
  <c r="B42" i="9" s="1"/>
  <c r="B26" i="9"/>
  <c r="B15" i="3"/>
  <c r="D15" i="3" s="1"/>
  <c r="B13" i="3"/>
  <c r="B14" i="3"/>
  <c r="E25" i="15" l="1"/>
  <c r="B25" i="15"/>
  <c r="G25" i="15"/>
  <c r="D25" i="15"/>
  <c r="D26" i="15"/>
  <c r="B26" i="15"/>
  <c r="F26" i="15"/>
  <c r="E26" i="15"/>
  <c r="H22" i="15"/>
  <c r="G27" i="15"/>
  <c r="B27" i="15"/>
  <c r="F27" i="15"/>
  <c r="E27" i="15"/>
  <c r="D27" i="15"/>
  <c r="G39" i="9"/>
  <c r="B32" i="11"/>
  <c r="B40" i="11" s="1"/>
  <c r="C41" i="9" s="1"/>
  <c r="G41" i="9"/>
  <c r="B31" i="11"/>
  <c r="B39" i="11" s="1"/>
  <c r="C40" i="9" s="1"/>
  <c r="G40" i="9"/>
  <c r="D18" i="14"/>
  <c r="D23" i="14" s="1"/>
  <c r="F39" i="9" s="1"/>
  <c r="E18" i="14"/>
  <c r="F17" i="14"/>
  <c r="F23" i="14" s="1"/>
  <c r="F41" i="9" s="1"/>
  <c r="G17" i="14"/>
  <c r="G23" i="14" s="1"/>
  <c r="F42" i="9" s="1"/>
  <c r="E19" i="14"/>
  <c r="E17" i="14"/>
  <c r="H15" i="12"/>
  <c r="B27" i="12" s="1"/>
  <c r="H20" i="12"/>
  <c r="H14" i="12"/>
  <c r="H21" i="12"/>
  <c r="H13" i="12"/>
  <c r="H19" i="12"/>
  <c r="B25" i="3"/>
  <c r="I15" i="3"/>
  <c r="E27" i="3" s="1"/>
  <c r="K15" i="3"/>
  <c r="K21" i="3" s="1"/>
  <c r="B30" i="9"/>
  <c r="B39" i="9" s="1"/>
  <c r="B26" i="3"/>
  <c r="B27" i="3"/>
  <c r="D14" i="3"/>
  <c r="K14" i="3" s="1"/>
  <c r="K20" i="3" s="1"/>
  <c r="C26" i="9"/>
  <c r="D26" i="9"/>
  <c r="B32" i="9" s="1"/>
  <c r="B41" i="9" s="1"/>
  <c r="I13" i="3"/>
  <c r="E25" i="3" s="1"/>
  <c r="D13" i="3"/>
  <c r="K13" i="3" s="1"/>
  <c r="K19" i="3" s="1"/>
  <c r="I14" i="3"/>
  <c r="E26" i="3" s="1"/>
  <c r="G28" i="15" l="1"/>
  <c r="H42" i="9" s="1"/>
  <c r="E28" i="15"/>
  <c r="H40" i="9" s="1"/>
  <c r="D28" i="15"/>
  <c r="H39" i="9" s="1"/>
  <c r="F28" i="15"/>
  <c r="H41" i="9" s="1"/>
  <c r="E23" i="14"/>
  <c r="F40" i="9" s="1"/>
  <c r="G43" i="9"/>
  <c r="B34" i="11"/>
  <c r="B42" i="11"/>
  <c r="C43" i="9" s="1"/>
  <c r="G27" i="12"/>
  <c r="D27" i="12"/>
  <c r="F27" i="12"/>
  <c r="E27" i="12"/>
  <c r="H22" i="12"/>
  <c r="D26" i="12"/>
  <c r="G26" i="12"/>
  <c r="B26" i="12"/>
  <c r="E26" i="12"/>
  <c r="F26" i="12"/>
  <c r="D25" i="12"/>
  <c r="F25" i="12"/>
  <c r="G25" i="12"/>
  <c r="E25" i="12"/>
  <c r="B25" i="12"/>
  <c r="B31" i="9"/>
  <c r="B40" i="9" s="1"/>
  <c r="B28" i="3"/>
  <c r="E28" i="3"/>
  <c r="L20" i="3"/>
  <c r="M20" i="3" s="1"/>
  <c r="L21" i="3"/>
  <c r="M21" i="3" s="1"/>
  <c r="L19" i="3"/>
  <c r="M19" i="3" s="1"/>
  <c r="H15" i="3"/>
  <c r="D21" i="3"/>
  <c r="H21" i="3" s="1"/>
  <c r="H13" i="3"/>
  <c r="D19" i="3"/>
  <c r="H19" i="3" s="1"/>
  <c r="H14" i="3"/>
  <c r="D20" i="3"/>
  <c r="H20" i="3" s="1"/>
  <c r="L15" i="3"/>
  <c r="M15" i="3" s="1"/>
  <c r="L13" i="3"/>
  <c r="M13" i="3" s="1"/>
  <c r="L14" i="3"/>
  <c r="M14" i="3" s="1"/>
  <c r="H43" i="9" l="1"/>
  <c r="H28" i="15"/>
  <c r="C23" i="14"/>
  <c r="F43" i="9" s="1"/>
  <c r="G28" i="12"/>
  <c r="E42" i="9" s="1"/>
  <c r="E28" i="12"/>
  <c r="E40" i="9" s="1"/>
  <c r="F28" i="12"/>
  <c r="E41" i="9" s="1"/>
  <c r="D28" i="12"/>
  <c r="E39" i="9" s="1"/>
  <c r="C41" i="11"/>
  <c r="D41" i="11" s="1"/>
  <c r="D42" i="9"/>
  <c r="C38" i="11"/>
  <c r="D38" i="11" s="1"/>
  <c r="D39" i="9"/>
  <c r="D26" i="3"/>
  <c r="B34" i="9"/>
  <c r="B43" i="9"/>
  <c r="D25" i="3"/>
  <c r="C25" i="3"/>
  <c r="C27" i="3"/>
  <c r="C26" i="3"/>
  <c r="O15" i="3"/>
  <c r="D27" i="3"/>
  <c r="O14" i="3"/>
  <c r="O13" i="3"/>
  <c r="H28" i="12" l="1"/>
  <c r="E43" i="9" s="1"/>
  <c r="D28" i="3"/>
  <c r="C28" i="3"/>
  <c r="D41" i="9" l="1"/>
  <c r="C40" i="11"/>
  <c r="D40" i="11" s="1"/>
  <c r="D40" i="9"/>
  <c r="C39" i="11"/>
  <c r="D39" i="11" s="1"/>
  <c r="B31" i="3"/>
  <c r="C42" i="11" l="1"/>
  <c r="D42" i="11" s="1"/>
  <c r="D43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March, Grace</author>
  </authors>
  <commentList>
    <comment ref="M13" authorId="0" shapeId="0" xr:uid="{FF08300F-BC69-4D9D-A5C6-D9120BBF0338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Intermittent and Conventional Low Carbon has ALFE of 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March, Grace</author>
  </authors>
  <commentList>
    <comment ref="M13" authorId="0" shapeId="0" xr:uid="{20C76B84-409A-45C0-B45A-5A2B172B9DAF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Intermittent and Conventional Low Carbon has ALFE of 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March, Grace</author>
  </authors>
  <commentList>
    <comment ref="K13" authorId="0" shapeId="0" xr:uid="{7BC591A7-7904-4A41-9358-79AFF7FFAFEF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Intermittent and Conventional Low Carbon has ALFE of 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March, Grace</author>
  </authors>
  <commentList>
    <comment ref="K13" authorId="0" shapeId="0" xr:uid="{957BA886-2243-454A-B486-9F2986EDFB94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Intermittent and Conventional Low Carbon has ALFE of 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March, Grace</author>
  </authors>
  <commentList>
    <comment ref="K13" authorId="0" shapeId="0" xr:uid="{327BAA1A-5BCE-491C-B88A-E61D0E3F9229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Intermittent and Conventional Low Carbon has ALFE of 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March, Grace</author>
  </authors>
  <commentList>
    <comment ref="K13" authorId="0" shapeId="0" xr:uid="{AE78EB88-8D72-49D4-BADC-10642819748E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Intermittent and Conventional Low Carbon has ALFE of 1</t>
        </r>
      </text>
    </comment>
  </commentList>
</comments>
</file>

<file path=xl/sharedStrings.xml><?xml version="1.0" encoding="utf-8"?>
<sst xmlns="http://schemas.openxmlformats.org/spreadsheetml/2006/main" count="331" uniqueCount="97">
  <si>
    <t>BMU 1</t>
  </si>
  <si>
    <t>BMU 2</t>
  </si>
  <si>
    <t>BMU 3</t>
  </si>
  <si>
    <t>Max Capacity (MW)</t>
  </si>
  <si>
    <t>Fuel Type</t>
  </si>
  <si>
    <t>Annual exporting (MWh)</t>
  </si>
  <si>
    <t>CHP</t>
  </si>
  <si>
    <t>MTPSTEC (MW)</t>
  </si>
  <si>
    <t>TEC (MW)</t>
  </si>
  <si>
    <t>Peak Security</t>
  </si>
  <si>
    <t>Adjustment</t>
  </si>
  <si>
    <t>ALF</t>
  </si>
  <si>
    <t>CMP316 WACM1 - as worked example previously published</t>
  </si>
  <si>
    <t>MTPSTECPK (MW)</t>
  </si>
  <si>
    <t>Peak charge (£k)</t>
  </si>
  <si>
    <t>YRS charge (£k)</t>
  </si>
  <si>
    <t>YRNS charge (£k)</t>
  </si>
  <si>
    <t>Adjustment (£k)</t>
  </si>
  <si>
    <r>
      <t xml:space="preserve">Wider Tariffs (£/kw) </t>
    </r>
    <r>
      <rPr>
        <b/>
        <i/>
        <sz val="11"/>
        <color theme="1"/>
        <rFont val="Calibri"/>
        <family val="2"/>
        <scheme val="minor"/>
      </rPr>
      <t>For illustrative purposes only</t>
    </r>
  </si>
  <si>
    <t>YRS</t>
  </si>
  <si>
    <t>YRNS</t>
  </si>
  <si>
    <t>Total</t>
  </si>
  <si>
    <t>BMU1</t>
  </si>
  <si>
    <t>BMU2</t>
  </si>
  <si>
    <t>BMU3</t>
  </si>
  <si>
    <t>MTPSECS (MW)</t>
  </si>
  <si>
    <t>EALF</t>
  </si>
  <si>
    <t>Peak Charge</t>
  </si>
  <si>
    <t>Peak</t>
  </si>
  <si>
    <t>1) Calculate component charges based on TEC</t>
  </si>
  <si>
    <t>Peak Element</t>
  </si>
  <si>
    <t>Year Round Not Shared</t>
  </si>
  <si>
    <t>Year Round Shared</t>
  </si>
  <si>
    <t>must use combined ALF of child stations</t>
  </si>
  <si>
    <t>Site ALF</t>
  </si>
  <si>
    <t>Assume ALF = 1</t>
  </si>
  <si>
    <t>2) Calculate component charges based installed capacity</t>
  </si>
  <si>
    <t>Installed Capacity</t>
  </si>
  <si>
    <t>MTPSTEC</t>
  </si>
  <si>
    <t>For YRNS ALF is only used for Conventional Carbon</t>
  </si>
  <si>
    <t>Peak charge is zero for intermittent</t>
  </si>
  <si>
    <t>CMP316 WACM1 - Alternative methodology</t>
  </si>
  <si>
    <t>Check - compare against old methology</t>
  </si>
  <si>
    <t>New</t>
  </si>
  <si>
    <t>Old</t>
  </si>
  <si>
    <t>3) For each component take minimum of value calculated by TEC and value calculated by installed capacity</t>
  </si>
  <si>
    <t>Peak Element = Peak Tariff x TEC</t>
  </si>
  <si>
    <t>`</t>
  </si>
  <si>
    <t>Year Round Shared = YRS Tariff x TEC x Site ALF</t>
  </si>
  <si>
    <t>Year Not Round Shared = YRS Tariff x TEC</t>
  </si>
  <si>
    <t>Child Station Chargeable Capacity
(Average 3 highest)</t>
  </si>
  <si>
    <t>Chargeable Capacity</t>
  </si>
  <si>
    <t>Chargeable Capacity site</t>
  </si>
  <si>
    <t>Chargeable MTPSTEC (MW)</t>
  </si>
  <si>
    <t>Chargeable MTPSTECPK (MW)</t>
  </si>
  <si>
    <t>Intermittent</t>
  </si>
  <si>
    <t>Tidal</t>
  </si>
  <si>
    <t>Solar</t>
  </si>
  <si>
    <t>Conventional Low Carbon</t>
  </si>
  <si>
    <t>Nuclear</t>
  </si>
  <si>
    <t>Hydro</t>
  </si>
  <si>
    <t>Conventional Carbon</t>
  </si>
  <si>
    <t>Biomass</t>
  </si>
  <si>
    <t>OCGT</t>
  </si>
  <si>
    <t>Coal</t>
  </si>
  <si>
    <t>Oil</t>
  </si>
  <si>
    <t>Pumped Storage</t>
  </si>
  <si>
    <t>Battery Storage</t>
  </si>
  <si>
    <t>CCGT</t>
  </si>
  <si>
    <t>Reactive Compensation</t>
  </si>
  <si>
    <t>Offshore Wind</t>
  </si>
  <si>
    <t>Onshore Wind</t>
  </si>
  <si>
    <t>Charging Type</t>
  </si>
  <si>
    <t>Peak calc installed capacity</t>
  </si>
  <si>
    <t>Peak calc chargeable cap</t>
  </si>
  <si>
    <t>ALF (unchanged)</t>
  </si>
  <si>
    <t>Charges</t>
  </si>
  <si>
    <t>If tariff positive</t>
  </si>
  <si>
    <t>If tariff negative</t>
  </si>
  <si>
    <t>Total Charge</t>
  </si>
  <si>
    <t>Technology type</t>
  </si>
  <si>
    <t>If tariff positive use TEC, if negative use chargeable capacity</t>
  </si>
  <si>
    <t>*differ from old methodology in not using chargeable when negative?</t>
  </si>
  <si>
    <t>CMP316 WACM1 - Alternative methodology (no MTPSTEC)</t>
  </si>
  <si>
    <t>New WACM1</t>
  </si>
  <si>
    <t>Old WACM1</t>
  </si>
  <si>
    <t>New No MTPSTEC</t>
  </si>
  <si>
    <t>Original</t>
  </si>
  <si>
    <t>Baseline</t>
  </si>
  <si>
    <t>Actual Tariffs</t>
  </si>
  <si>
    <t>Predominant Technology</t>
  </si>
  <si>
    <t>Actual Charge</t>
  </si>
  <si>
    <t>Initial Total (Positive)</t>
  </si>
  <si>
    <t>Individual Sites</t>
  </si>
  <si>
    <t>Original ALF MTPSTEC</t>
  </si>
  <si>
    <t>Comparison against different methodologies</t>
  </si>
  <si>
    <t>Note - only this tab should be used as input, other calculations will update automatically from this 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</si>
</sst>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£&quot;* #,##0.00_-;\-&quot;£&quot;* #,##0.00_-;_-&quot;£&quot;* &quot;-&quot;??_-;_-@_-"/>
    <numFmt numFmtId="164" formatCode="0.0"/>
    <numFmt numFmtId="165" formatCode="&quot;£&quot;#,##0.00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164" fontId="0" fillId="0" borderId="0" xfId="0" applyNumberFormat="1"/>
    <xf numFmtId="0" fontId="0" fillId="0" borderId="1" xfId="0" applyBorder="1"/>
    <xf numFmtId="9" fontId="0" fillId="0" borderId="0" xfId="2" applyFont="1"/>
    <xf numFmtId="44" fontId="0" fillId="0" borderId="0" xfId="1" applyFont="1"/>
    <xf numFmtId="44" fontId="0" fillId="0" borderId="0" xfId="0" applyNumberFormat="1"/>
    <xf numFmtId="0" fontId="2" fillId="0" borderId="0" xfId="0" applyFont="1"/>
    <xf numFmtId="0" fontId="8" fillId="0" borderId="1" xfId="0" applyFont="1" applyBorder="1"/>
    <xf numFmtId="165" fontId="0" fillId="0" borderId="0" xfId="0" applyNumberFormat="1"/>
    <xf numFmtId="0" fontId="0" fillId="0" borderId="2" xfId="0" applyBorder="1"/>
    <xf numFmtId="0" fontId="8" fillId="0" borderId="0" xfId="0" applyFont="1"/>
    <xf numFmtId="10" fontId="0" fillId="0" borderId="0" xfId="0" applyNumberFormat="1"/>
    <xf numFmtId="0" fontId="9" fillId="0" borderId="0" xfId="0" applyFont="1"/>
    <xf numFmtId="165" fontId="10" fillId="0" borderId="0" xfId="0" applyNumberFormat="1" applyFont="1"/>
    <xf numFmtId="165" fontId="3" fillId="0" borderId="0" xfId="0" applyNumberFormat="1" applyFont="1"/>
    <xf numFmtId="0" fontId="7" fillId="0" borderId="0" xfId="0" applyFont="1"/>
    <xf numFmtId="0" fontId="0" fillId="0" borderId="2" xfId="0" applyBorder="1" applyAlignment="1">
      <alignment wrapText="1"/>
    </xf>
    <xf numFmtId="0" fontId="11" fillId="0" borderId="0" xfId="0" applyFont="1"/>
    <xf numFmtId="9" fontId="0" fillId="0" borderId="0" xfId="0" applyNumberFormat="1"/>
    <xf numFmtId="165" fontId="0" fillId="0" borderId="0" xfId="2" applyNumberFormat="1" applyFont="1"/>
    <xf numFmtId="2" fontId="0" fillId="0" borderId="0" xfId="2" applyNumberFormat="1" applyFont="1"/>
    <xf numFmtId="2" fontId="0" fillId="0" borderId="0" xfId="0" applyNumberFormat="1"/>
    <xf numFmtId="166" fontId="0" fillId="0" borderId="0" xfId="2" applyNumberFormat="1" applyFont="1"/>
    <xf numFmtId="4" fontId="0" fillId="0" borderId="0" xfId="0" applyNumberFormat="1"/>
    <xf numFmtId="4" fontId="0" fillId="0" borderId="1" xfId="0" applyNumberFormat="1" applyBorder="1"/>
    <xf numFmtId="0" fontId="10" fillId="0" borderId="1" xfId="0" applyFont="1" applyBorder="1"/>
    <xf numFmtId="165" fontId="0" fillId="0" borderId="1" xfId="0" applyNumberFormat="1" applyBorder="1"/>
    <xf numFmtId="0" fontId="3" fillId="0" borderId="1" xfId="0" applyFont="1" applyBorder="1"/>
    <xf numFmtId="0" fontId="0" fillId="2" borderId="0" xfId="0" applyFill="1"/>
    <xf numFmtId="10" fontId="0" fillId="2" borderId="0" xfId="0" applyNumberFormat="1" applyFill="1"/>
  </cellXfs>
  <cellStyles count="4">
    <cellStyle name="Currency" xfId="1" builtinId="4"/>
    <cellStyle name="Currency 2" xfId="3" xr:uid="{B252A6E5-0A8A-4E8D-B54D-9E00A315E2B4}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31634</xdr:colOff>
      <xdr:row>1</xdr:row>
      <xdr:rowOff>176412</xdr:rowOff>
    </xdr:from>
    <xdr:to>
      <xdr:col>21</xdr:col>
      <xdr:colOff>456326</xdr:colOff>
      <xdr:row>19</xdr:row>
      <xdr:rowOff>29750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361D9E-7C92-4E39-A5A5-0E91113DC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89465" y="360026"/>
          <a:ext cx="4797013" cy="35173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31634</xdr:colOff>
      <xdr:row>1</xdr:row>
      <xdr:rowOff>176412</xdr:rowOff>
    </xdr:from>
    <xdr:to>
      <xdr:col>21</xdr:col>
      <xdr:colOff>456327</xdr:colOff>
      <xdr:row>19</xdr:row>
      <xdr:rowOff>29750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EDBD93-3F7C-4A0E-97F4-2FC8ACB1D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8734" y="360562"/>
          <a:ext cx="4799843" cy="35204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120650</xdr:colOff>
      <xdr:row>6</xdr:row>
      <xdr:rowOff>165100</xdr:rowOff>
    </xdr:from>
    <xdr:to>
      <xdr:col>14</xdr:col>
      <xdr:colOff>555288</xdr:colOff>
      <xdr:row>25</xdr:row>
      <xdr:rowOff>181052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FD6CCE-BE48-4130-A022-70FC3B5F1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75750" y="1581150"/>
          <a:ext cx="4816138" cy="351480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120650</xdr:colOff>
      <xdr:row>6</xdr:row>
      <xdr:rowOff>165100</xdr:rowOff>
    </xdr:from>
    <xdr:to>
      <xdr:col>14</xdr:col>
      <xdr:colOff>555288</xdr:colOff>
      <xdr:row>26</xdr:row>
      <xdr:rowOff>77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F2D782-9FD8-4419-BDC0-59A1CB79B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72575" y="1562100"/>
          <a:ext cx="4822488" cy="34544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120650</xdr:colOff>
      <xdr:row>6</xdr:row>
      <xdr:rowOff>165100</xdr:rowOff>
    </xdr:from>
    <xdr:to>
      <xdr:col>14</xdr:col>
      <xdr:colOff>555288</xdr:colOff>
      <xdr:row>25</xdr:row>
      <xdr:rowOff>181052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C4AFF2A-01D4-41E8-8D55-FF7A69253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75750" y="1581150"/>
          <a:ext cx="4816138" cy="35148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E0FE4-DDD2-47D8-B7D0-589ECDCA0E92}">
  <dimension ref="A1:Y43"/>
  <sheetViews>
    <sheetView tabSelected="1" zoomScale="83" zoomScaleNormal="83" workbookViewId="0">
      <selection activeCell="E4" sqref="E4"/>
    </sheetView>
  </sheetViews>
  <sheetFormatPr defaultRowHeight="14.5" x14ac:dyDescent="0.35"/>
  <cols>
    <col min="1" max="1" width="22.08984375" customWidth="1"/>
    <col min="2" max="2" width="12.81640625" customWidth="1"/>
    <col min="3" max="3" width="15.7265625" customWidth="1"/>
    <col min="4" max="4" width="24.90625" customWidth="1"/>
    <col min="5" max="5" width="10.08984375" customWidth="1"/>
    <col min="7" max="7" width="24.1796875" customWidth="1"/>
    <col min="8" max="8" width="17.90625" customWidth="1"/>
    <col min="12" max="12" width="9.81640625" bestFit="1" customWidth="1"/>
    <col min="15" max="15" width="8.81640625" bestFit="1" customWidth="1"/>
    <col min="17" max="17" width="10.1796875" bestFit="1" customWidth="1"/>
    <col min="25" max="25" width="12.90625" customWidth="1"/>
    <col min="26" max="29" width="8.81640625" bestFit="1" customWidth="1"/>
    <col min="31" max="32" width="8.81640625" bestFit="1" customWidth="1"/>
  </cols>
  <sheetData>
    <row r="1" spans="1:25" x14ac:dyDescent="0.35">
      <c r="A1" s="1" t="s">
        <v>41</v>
      </c>
      <c r="D1" s="13" t="s">
        <v>96</v>
      </c>
    </row>
    <row r="3" spans="1:25" ht="42.5" customHeight="1" x14ac:dyDescent="0.35">
      <c r="A3" s="3"/>
      <c r="B3" s="3" t="s">
        <v>37</v>
      </c>
      <c r="C3" s="3" t="s">
        <v>4</v>
      </c>
      <c r="D3" s="3" t="s">
        <v>5</v>
      </c>
      <c r="E3" s="10" t="s">
        <v>38</v>
      </c>
      <c r="F3" s="10" t="s">
        <v>11</v>
      </c>
      <c r="G3" s="17" t="s">
        <v>50</v>
      </c>
      <c r="I3" t="s">
        <v>8</v>
      </c>
      <c r="J3">
        <v>70</v>
      </c>
      <c r="L3" t="s">
        <v>34</v>
      </c>
      <c r="M3" s="29">
        <f>(D4+D5+D6)/(J3*24*365)</f>
        <v>0.15225714285714284</v>
      </c>
      <c r="Y3" t="s">
        <v>80</v>
      </c>
    </row>
    <row r="4" spans="1:25" x14ac:dyDescent="0.35">
      <c r="A4" s="3" t="s">
        <v>0</v>
      </c>
      <c r="B4" s="3">
        <v>20</v>
      </c>
      <c r="C4" s="3" t="s">
        <v>71</v>
      </c>
      <c r="D4" s="25">
        <v>81941.039999999994</v>
      </c>
      <c r="E4" s="29">
        <f>IF(SUM(B4:B6)&gt;J3,((B4/(B$4+B$5+B$6))*J$3),B4)</f>
        <v>14</v>
      </c>
      <c r="F4" s="30">
        <f>D4/(E4*24*365)</f>
        <v>0.66814285714285704</v>
      </c>
      <c r="G4">
        <v>18</v>
      </c>
      <c r="I4" t="s">
        <v>52</v>
      </c>
      <c r="J4">
        <v>63</v>
      </c>
      <c r="Y4" t="str">
        <f>VLOOKUP(C4,'Technology Types'!$B$4:$C$18,2,FALSE)</f>
        <v>Intermittent</v>
      </c>
    </row>
    <row r="5" spans="1:25" x14ac:dyDescent="0.35">
      <c r="A5" s="3" t="s">
        <v>1</v>
      </c>
      <c r="B5" s="3">
        <v>80</v>
      </c>
      <c r="C5" s="3" t="s">
        <v>67</v>
      </c>
      <c r="D5" s="25">
        <v>11423.039999999999</v>
      </c>
      <c r="E5" s="29">
        <f>IF(SUM(B4:B6)&gt;J3,((B5/(B$4+B$5+B$6))*J$3),B5)</f>
        <v>56</v>
      </c>
      <c r="F5" s="30">
        <f t="shared" ref="F5" si="0">D5/(E5*24*365)</f>
        <v>2.3285714285714285E-2</v>
      </c>
      <c r="G5">
        <v>72</v>
      </c>
      <c r="Y5" t="str">
        <f>VLOOKUP(C5,'Technology Types'!$B$4:$C$18,2,FALSE)</f>
        <v>Conventional Carbon</v>
      </c>
    </row>
    <row r="6" spans="1:25" x14ac:dyDescent="0.35">
      <c r="A6" s="3" t="s">
        <v>2</v>
      </c>
      <c r="B6" s="3">
        <v>0</v>
      </c>
      <c r="C6" s="26" t="s">
        <v>67</v>
      </c>
      <c r="D6" s="25">
        <v>0</v>
      </c>
      <c r="E6" s="29">
        <f>IF(SUM(B4:B6)&gt;J3,((B6/(B$4+B$5+B$6))*J$3),B6)</f>
        <v>0</v>
      </c>
      <c r="F6" s="30">
        <f>IF(B6=0,0,(D6/(E6*24*365)))</f>
        <v>0</v>
      </c>
      <c r="G6">
        <v>0</v>
      </c>
      <c r="Y6" t="str">
        <f>VLOOKUP(C6,'Technology Types'!$B$4:$C$18,2,FALSE)</f>
        <v>Conventional Carbon</v>
      </c>
    </row>
    <row r="8" spans="1:25" x14ac:dyDescent="0.35">
      <c r="A8" s="1" t="s">
        <v>18</v>
      </c>
    </row>
    <row r="9" spans="1:25" x14ac:dyDescent="0.35">
      <c r="A9" s="1"/>
      <c r="B9" s="3" t="s">
        <v>9</v>
      </c>
      <c r="C9" s="3" t="s">
        <v>19</v>
      </c>
      <c r="D9" s="3" t="s">
        <v>20</v>
      </c>
      <c r="E9" s="3" t="s">
        <v>10</v>
      </c>
    </row>
    <row r="10" spans="1:25" x14ac:dyDescent="0.35">
      <c r="A10" s="1"/>
      <c r="B10" s="8">
        <v>5</v>
      </c>
      <c r="C10" s="8">
        <v>15</v>
      </c>
      <c r="D10" s="8">
        <v>12</v>
      </c>
      <c r="E10" s="8">
        <v>-1</v>
      </c>
      <c r="F10" s="11"/>
      <c r="G10" s="11"/>
      <c r="H10" s="11"/>
    </row>
    <row r="11" spans="1:25" x14ac:dyDescent="0.35">
      <c r="J11" s="22"/>
      <c r="L11" s="24"/>
    </row>
    <row r="12" spans="1:25" x14ac:dyDescent="0.35">
      <c r="J12" s="22"/>
      <c r="L12" s="24"/>
    </row>
    <row r="13" spans="1:25" x14ac:dyDescent="0.35">
      <c r="A13" s="16" t="s">
        <v>29</v>
      </c>
      <c r="B13" s="2"/>
      <c r="C13" s="7" t="s">
        <v>81</v>
      </c>
      <c r="D13" s="4"/>
      <c r="J13" s="22"/>
      <c r="L13" s="24"/>
      <c r="N13" s="2"/>
      <c r="O13" s="5"/>
      <c r="Q13" s="6"/>
    </row>
    <row r="14" spans="1:25" x14ac:dyDescent="0.35">
      <c r="B14" s="2"/>
      <c r="D14" s="4"/>
      <c r="I14" s="5"/>
      <c r="J14" s="5"/>
      <c r="K14" s="5"/>
      <c r="M14" s="4"/>
      <c r="N14" s="2"/>
      <c r="O14" s="5"/>
      <c r="Q14" s="6"/>
    </row>
    <row r="15" spans="1:25" x14ac:dyDescent="0.35">
      <c r="A15" t="s">
        <v>30</v>
      </c>
      <c r="B15" s="9">
        <f>IF(B10&gt;0,(J3*B10),(J4*B10))</f>
        <v>350</v>
      </c>
      <c r="D15" s="4"/>
      <c r="F15" s="7" t="s">
        <v>46</v>
      </c>
      <c r="G15" s="7"/>
      <c r="I15" s="5"/>
      <c r="J15" s="5"/>
      <c r="K15" s="5"/>
      <c r="M15" s="4"/>
      <c r="N15" s="2"/>
      <c r="O15" s="5"/>
      <c r="Q15" s="6"/>
    </row>
    <row r="16" spans="1:25" x14ac:dyDescent="0.35">
      <c r="A16" t="s">
        <v>32</v>
      </c>
      <c r="B16" s="9">
        <f>IF(C10&gt;0,(J3*M3*C10),(J4*M3*C10))</f>
        <v>159.87</v>
      </c>
      <c r="C16" s="7" t="s">
        <v>33</v>
      </c>
      <c r="F16" s="7" t="s">
        <v>48</v>
      </c>
      <c r="G16" s="7"/>
      <c r="J16" s="6"/>
      <c r="O16" s="6"/>
    </row>
    <row r="17" spans="1:17" x14ac:dyDescent="0.35">
      <c r="A17" t="s">
        <v>31</v>
      </c>
      <c r="B17" s="9">
        <f>IF(D10&gt;0,(J3*D10),(J4*D10))</f>
        <v>840</v>
      </c>
      <c r="C17" s="7" t="s">
        <v>35</v>
      </c>
      <c r="F17" s="7" t="s">
        <v>49</v>
      </c>
      <c r="G17" s="7"/>
      <c r="Q17" s="6"/>
    </row>
    <row r="18" spans="1:17" x14ac:dyDescent="0.35">
      <c r="A18" t="s">
        <v>10</v>
      </c>
      <c r="B18" s="9">
        <f>IF(E10&gt;0,(J3*E10),(J4*E10))</f>
        <v>-63</v>
      </c>
      <c r="C18" s="13" t="s">
        <v>82</v>
      </c>
      <c r="F18" s="7"/>
      <c r="G18" s="7"/>
      <c r="Q18" s="6"/>
    </row>
    <row r="19" spans="1:17" x14ac:dyDescent="0.35">
      <c r="Q19" s="6"/>
    </row>
    <row r="20" spans="1:17" x14ac:dyDescent="0.35">
      <c r="A20" s="16" t="s">
        <v>36</v>
      </c>
    </row>
    <row r="22" spans="1:17" x14ac:dyDescent="0.35">
      <c r="B22" t="s">
        <v>28</v>
      </c>
      <c r="C22" t="s">
        <v>19</v>
      </c>
      <c r="D22" t="s">
        <v>20</v>
      </c>
      <c r="E22" t="s">
        <v>10</v>
      </c>
      <c r="F22" s="13" t="s">
        <v>39</v>
      </c>
      <c r="G22" s="13"/>
    </row>
    <row r="23" spans="1:17" x14ac:dyDescent="0.35">
      <c r="A23" t="s">
        <v>22</v>
      </c>
      <c r="B23" s="9">
        <f>IF(Y4="Intermittent",0,IF($B$10&gt;0,(B4*$B$10),(G4*$B$10)))</f>
        <v>0</v>
      </c>
      <c r="C23" s="9">
        <f>IF($C$10&gt;0,(B4*$C$10*F4),(G4*$C$10*F4))</f>
        <v>200.44285714285712</v>
      </c>
      <c r="D23" s="9">
        <f>IF(Y4="Intermittent",(IF($D$10&gt;0,(B4*$D$10),(G4*$D$10))),(IF($D$10&gt;0,(B4*$D$10*F4),(G4*$D$10*F4))))</f>
        <v>240</v>
      </c>
      <c r="E23" s="9">
        <f>IF($E$10&gt;0,(B4*$E$10),(G4*$E$10))</f>
        <v>-18</v>
      </c>
      <c r="F23" s="13" t="s">
        <v>40</v>
      </c>
      <c r="G23" s="13"/>
    </row>
    <row r="24" spans="1:17" x14ac:dyDescent="0.35">
      <c r="A24" t="s">
        <v>23</v>
      </c>
      <c r="B24" s="9">
        <f t="shared" ref="B24:B25" si="1">IF(Y5="Intermittent",0,IF($B$10&gt;0,(B5*$B$10),(G5*$B$10)))</f>
        <v>400</v>
      </c>
      <c r="C24" s="9">
        <f t="shared" ref="C24:C25" si="2">IF($C$10&gt;0,(B5*$C$10*F5),(G5*$C$10*F5))</f>
        <v>27.942857142857143</v>
      </c>
      <c r="D24" s="9">
        <f t="shared" ref="D24:D25" si="3">IF(Y5="Intermittent",(IF($D$10&gt;0,(B5*$D$10),(G5*$D$10))),(IF($D$10&gt;0,(B5*$D$10*F5),(G5*$D$10*F5))))</f>
        <v>22.354285714285712</v>
      </c>
      <c r="E24" s="9">
        <f t="shared" ref="E24:E25" si="4">IF($E$10&gt;0,(B5*$E$10),(G5*$E$10))</f>
        <v>-72</v>
      </c>
      <c r="I24" s="1"/>
    </row>
    <row r="25" spans="1:17" x14ac:dyDescent="0.35">
      <c r="A25" t="s">
        <v>24</v>
      </c>
      <c r="B25" s="9">
        <f t="shared" si="1"/>
        <v>0</v>
      </c>
      <c r="C25" s="9">
        <f t="shared" si="2"/>
        <v>0</v>
      </c>
      <c r="D25" s="9">
        <f t="shared" si="3"/>
        <v>0</v>
      </c>
      <c r="E25" s="9">
        <f t="shared" si="4"/>
        <v>0</v>
      </c>
      <c r="J25" t="s">
        <v>47</v>
      </c>
    </row>
    <row r="26" spans="1:17" x14ac:dyDescent="0.35">
      <c r="A26" t="s">
        <v>21</v>
      </c>
      <c r="B26" s="15">
        <f>SUM(B23:B25)</f>
        <v>400</v>
      </c>
      <c r="C26" s="15">
        <f t="shared" ref="C26:E26" si="5">SUM(C23:C25)</f>
        <v>228.38571428571427</v>
      </c>
      <c r="D26" s="15">
        <f t="shared" si="5"/>
        <v>262.35428571428571</v>
      </c>
      <c r="E26" s="15">
        <f t="shared" si="5"/>
        <v>-90</v>
      </c>
    </row>
    <row r="27" spans="1:17" x14ac:dyDescent="0.35">
      <c r="B27" s="9"/>
      <c r="C27" s="9"/>
      <c r="J27" s="9"/>
    </row>
    <row r="28" spans="1:17" x14ac:dyDescent="0.35">
      <c r="A28" s="16" t="s">
        <v>45</v>
      </c>
    </row>
    <row r="29" spans="1:17" x14ac:dyDescent="0.35">
      <c r="B29" s="9"/>
      <c r="C29" s="9"/>
      <c r="N29" s="7"/>
    </row>
    <row r="30" spans="1:17" x14ac:dyDescent="0.35">
      <c r="A30" t="s">
        <v>27</v>
      </c>
      <c r="B30" s="9">
        <f>IF(B10&gt;0,(MIN(B15,B26)),(MAX(B15,B26)))</f>
        <v>350</v>
      </c>
    </row>
    <row r="31" spans="1:17" x14ac:dyDescent="0.35">
      <c r="A31" t="s">
        <v>32</v>
      </c>
      <c r="B31" s="9">
        <f>IF(C10&gt;0,(MIN(B16,C26)),(MAX(B16,C26)))</f>
        <v>159.87</v>
      </c>
    </row>
    <row r="32" spans="1:17" x14ac:dyDescent="0.35">
      <c r="A32" t="s">
        <v>31</v>
      </c>
      <c r="B32" s="9">
        <f>IF(D10&gt;0,(MIN(B17,D26)),(MAX(B17,D26)))</f>
        <v>262.35428571428571</v>
      </c>
    </row>
    <row r="33" spans="1:8" x14ac:dyDescent="0.35">
      <c r="A33" t="s">
        <v>10</v>
      </c>
      <c r="B33" s="14">
        <f>IF(E10&gt;0,(MIN(B18,E26)),(MAX(B18,E26)))</f>
        <v>-63</v>
      </c>
    </row>
    <row r="34" spans="1:8" x14ac:dyDescent="0.35">
      <c r="A34" t="s">
        <v>21</v>
      </c>
      <c r="B34" s="14">
        <f>SUM(B30:B33)</f>
        <v>709.22428571428577</v>
      </c>
    </row>
    <row r="35" spans="1:8" x14ac:dyDescent="0.35">
      <c r="B35" s="7"/>
    </row>
    <row r="36" spans="1:8" x14ac:dyDescent="0.35">
      <c r="A36" s="16" t="s">
        <v>95</v>
      </c>
    </row>
    <row r="37" spans="1:8" x14ac:dyDescent="0.35">
      <c r="A37" s="16"/>
    </row>
    <row r="38" spans="1:8" x14ac:dyDescent="0.35">
      <c r="A38" s="3"/>
      <c r="B38" s="28" t="s">
        <v>84</v>
      </c>
      <c r="C38" s="28" t="s">
        <v>86</v>
      </c>
      <c r="D38" s="28" t="s">
        <v>85</v>
      </c>
      <c r="E38" s="28" t="s">
        <v>87</v>
      </c>
      <c r="F38" s="28" t="s">
        <v>88</v>
      </c>
      <c r="G38" s="28" t="s">
        <v>93</v>
      </c>
      <c r="H38" s="28" t="s">
        <v>94</v>
      </c>
    </row>
    <row r="39" spans="1:8" x14ac:dyDescent="0.35">
      <c r="A39" s="28" t="s">
        <v>27</v>
      </c>
      <c r="B39" s="27">
        <f>B30</f>
        <v>350</v>
      </c>
      <c r="C39" s="27">
        <f>'New WACM 1 No MTPSTEC'!B38</f>
        <v>350</v>
      </c>
      <c r="D39" s="27">
        <f>'WACM1 old methodology'!B28</f>
        <v>350</v>
      </c>
      <c r="E39" s="27">
        <f>Original!D28</f>
        <v>280</v>
      </c>
      <c r="F39" s="3">
        <f>Baseline!D23</f>
        <v>350</v>
      </c>
      <c r="G39" s="3">
        <f>'New WACM 1 No MTPSTEC'!B26</f>
        <v>400</v>
      </c>
      <c r="H39" s="3">
        <f>'Original ALF MTPSTEC'!D28</f>
        <v>280</v>
      </c>
    </row>
    <row r="40" spans="1:8" x14ac:dyDescent="0.35">
      <c r="A40" s="28" t="s">
        <v>32</v>
      </c>
      <c r="B40" s="27">
        <f t="shared" ref="B40:B42" si="6">B31</f>
        <v>159.87</v>
      </c>
      <c r="C40" s="27">
        <f>'New WACM 1 No MTPSTEC'!B39</f>
        <v>159.86999999999998</v>
      </c>
      <c r="D40" s="27">
        <f>'WACM1 old methodology'!C28</f>
        <v>159.87</v>
      </c>
      <c r="E40" s="27">
        <f>Original!E28</f>
        <v>43.71</v>
      </c>
      <c r="F40" s="3">
        <f>Baseline!E23</f>
        <v>159.87</v>
      </c>
      <c r="G40" s="3">
        <f>'New WACM 1 No MTPSTEC'!C26</f>
        <v>159.86999999999998</v>
      </c>
      <c r="H40" s="3">
        <f>'Original ALF MTPSTEC'!E28</f>
        <v>159.86999999999998</v>
      </c>
    </row>
    <row r="41" spans="1:8" x14ac:dyDescent="0.35">
      <c r="A41" s="28" t="s">
        <v>31</v>
      </c>
      <c r="B41" s="27">
        <f t="shared" si="6"/>
        <v>262.35428571428571</v>
      </c>
      <c r="C41" s="27">
        <f>'New WACM 1 No MTPSTEC'!B40</f>
        <v>255.648</v>
      </c>
      <c r="D41" s="27">
        <f>'WACM1 old methodology'!D28</f>
        <v>262.35428571428571</v>
      </c>
      <c r="E41" s="27">
        <f>Original!F28</f>
        <v>180.51839999999999</v>
      </c>
      <c r="F41" s="3">
        <f>Baseline!F23</f>
        <v>127.89599999999999</v>
      </c>
      <c r="G41" s="3">
        <f>'New WACM 1 No MTPSTEC'!D26</f>
        <v>255.648</v>
      </c>
      <c r="H41" s="3">
        <f>'Original ALF MTPSTEC'!F28</f>
        <v>183.648</v>
      </c>
    </row>
    <row r="42" spans="1:8" x14ac:dyDescent="0.35">
      <c r="A42" s="28" t="s">
        <v>10</v>
      </c>
      <c r="B42" s="27">
        <f t="shared" si="6"/>
        <v>-63</v>
      </c>
      <c r="C42" s="27">
        <f>'New WACM 1 No MTPSTEC'!B41</f>
        <v>-63</v>
      </c>
      <c r="D42" s="27">
        <f>'WACM1 old methodology'!E28</f>
        <v>-63.000000000000007</v>
      </c>
      <c r="E42" s="27">
        <f>Original!G28</f>
        <v>-70</v>
      </c>
      <c r="F42" s="3">
        <f>Baseline!G23</f>
        <v>-70</v>
      </c>
      <c r="G42" s="3">
        <f>'New WACM 1 No MTPSTEC'!E26</f>
        <v>-90</v>
      </c>
      <c r="H42" s="3">
        <f>'Original ALF MTPSTEC'!G28</f>
        <v>-70</v>
      </c>
    </row>
    <row r="43" spans="1:8" x14ac:dyDescent="0.35">
      <c r="A43" s="28" t="s">
        <v>21</v>
      </c>
      <c r="B43" s="27">
        <f>SUM(B39:B42)</f>
        <v>709.22428571428577</v>
      </c>
      <c r="C43" s="27">
        <f>'New WACM 1 No MTPSTEC'!B42</f>
        <v>702.51800000000003</v>
      </c>
      <c r="D43" s="27">
        <f>'WACM1 old methodology'!B31</f>
        <v>709.22428571428577</v>
      </c>
      <c r="E43" s="27">
        <f>Original!H28</f>
        <v>434.22839999999997</v>
      </c>
      <c r="F43" s="3">
        <f>Baseline!C23</f>
        <v>567.76599999999996</v>
      </c>
      <c r="G43" s="3">
        <f>SUM(G39:G42)</f>
        <v>725.51800000000003</v>
      </c>
      <c r="H43" s="3">
        <f>SUM(H39:H42)</f>
        <v>553.51800000000003</v>
      </c>
    </row>
  </sheetData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C612D22-FB55-46FC-963D-9D06717EB268}">
          <x14:formula1>
            <xm:f>'Technology Types'!$B$4:$B$18</xm:f>
          </x14:formula1>
          <xm:sqref>C4:C6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522F5-715E-43CA-A46E-DFB5DE12D87F}">
  <dimension ref="A1:Y42"/>
  <sheetViews>
    <sheetView zoomScale="83" zoomScaleNormal="83" workbookViewId="0">
      <selection activeCell="J24" sqref="J24"/>
    </sheetView>
  </sheetViews>
  <sheetFormatPr defaultRowHeight="14.5" x14ac:dyDescent="0.35"/>
  <cols>
    <col min="1" max="1" width="22.08984375" customWidth="1"/>
    <col min="2" max="2" width="12.81640625" customWidth="1"/>
    <col min="3" max="3" width="13" customWidth="1"/>
    <col min="4" max="4" width="24.90625" customWidth="1"/>
    <col min="5" max="5" width="10.08984375" customWidth="1"/>
    <col min="7" max="7" width="24.1796875" customWidth="1"/>
    <col min="15" max="15" width="8.81640625" bestFit="1" customWidth="1"/>
    <col min="17" max="17" width="10.1796875" bestFit="1" customWidth="1"/>
    <col min="25" max="25" width="12.90625" customWidth="1"/>
    <col min="26" max="29" width="8.81640625" bestFit="1" customWidth="1"/>
    <col min="31" max="32" width="8.81640625" bestFit="1" customWidth="1"/>
  </cols>
  <sheetData>
    <row r="1" spans="1:25" x14ac:dyDescent="0.35">
      <c r="A1" s="1" t="s">
        <v>83</v>
      </c>
    </row>
    <row r="3" spans="1:25" ht="42.5" customHeight="1" x14ac:dyDescent="0.35">
      <c r="A3" s="3"/>
      <c r="B3" s="3" t="s">
        <v>37</v>
      </c>
      <c r="C3" s="3" t="s">
        <v>4</v>
      </c>
      <c r="D3" s="3" t="s">
        <v>5</v>
      </c>
      <c r="E3" s="10" t="s">
        <v>38</v>
      </c>
      <c r="F3" s="10" t="s">
        <v>11</v>
      </c>
      <c r="G3" s="17" t="s">
        <v>50</v>
      </c>
      <c r="I3" t="s">
        <v>8</v>
      </c>
      <c r="J3">
        <f>'New methodology WACM1 (Input)'!J3</f>
        <v>70</v>
      </c>
      <c r="L3" t="s">
        <v>34</v>
      </c>
      <c r="M3">
        <f>(D4+D5+D6)/(J3*24*365)</f>
        <v>0.15225714285714284</v>
      </c>
      <c r="Y3" t="s">
        <v>80</v>
      </c>
    </row>
    <row r="4" spans="1:25" x14ac:dyDescent="0.35">
      <c r="A4" s="3" t="s">
        <v>0</v>
      </c>
      <c r="B4" s="3">
        <f>'New methodology WACM1 (Input)'!B4</f>
        <v>20</v>
      </c>
      <c r="C4" s="3" t="str">
        <f>'New methodology WACM1 (Input)'!C4</f>
        <v>Onshore Wind</v>
      </c>
      <c r="D4" s="3">
        <f>'New methodology WACM1 (Input)'!D4</f>
        <v>81941.039999999994</v>
      </c>
      <c r="E4">
        <f>IF(SUM(B4:B6)&gt;J3,((B4/(B$4+B$5+B$6))*J$3),B4)</f>
        <v>14</v>
      </c>
      <c r="F4" s="12">
        <f>D4/(B4*24*365)</f>
        <v>0.46769999999999995</v>
      </c>
      <c r="G4">
        <f>'New methodology WACM1 (Input)'!G4</f>
        <v>18</v>
      </c>
      <c r="I4" t="s">
        <v>52</v>
      </c>
      <c r="J4">
        <f>'New methodology WACM1 (Input)'!J4</f>
        <v>63</v>
      </c>
      <c r="Y4" t="str">
        <f>VLOOKUP(C4,'Technology Types'!$B$4:$C$18,2,FALSE)</f>
        <v>Intermittent</v>
      </c>
    </row>
    <row r="5" spans="1:25" x14ac:dyDescent="0.35">
      <c r="A5" s="3" t="s">
        <v>1</v>
      </c>
      <c r="B5" s="3">
        <f>'New methodology WACM1 (Input)'!B5</f>
        <v>80</v>
      </c>
      <c r="C5" s="3" t="str">
        <f>'New methodology WACM1 (Input)'!C5</f>
        <v>Battery Storage</v>
      </c>
      <c r="D5" s="3">
        <f>'New methodology WACM1 (Input)'!D5</f>
        <v>11423.039999999999</v>
      </c>
      <c r="E5">
        <f>IF(SUM(B4:B6)&gt;J3,((B5/(B$4+B$5+B$6))*J$3),B5)</f>
        <v>56</v>
      </c>
      <c r="F5" s="12">
        <f>D5/(B5*24*365)</f>
        <v>1.6299999999999999E-2</v>
      </c>
      <c r="G5">
        <f>'New methodology WACM1 (Input)'!G5</f>
        <v>72</v>
      </c>
      <c r="Y5" t="str">
        <f>VLOOKUP(C5,'Technology Types'!$B$4:$C$18,2,FALSE)</f>
        <v>Conventional Carbon</v>
      </c>
    </row>
    <row r="6" spans="1:25" x14ac:dyDescent="0.35">
      <c r="A6" s="3" t="s">
        <v>2</v>
      </c>
      <c r="B6" s="3">
        <f>'New methodology WACM1 (Input)'!B6</f>
        <v>0</v>
      </c>
      <c r="C6" s="3" t="str">
        <f>'New methodology WACM1 (Input)'!C6</f>
        <v>Battery Storage</v>
      </c>
      <c r="D6" s="3">
        <f>'New methodology WACM1 (Input)'!D6</f>
        <v>0</v>
      </c>
      <c r="E6">
        <f>IF(SUM(B4:B6)&gt;J3,((B6/(B$4+B$5+B$6))*J$3),B6)</f>
        <v>0</v>
      </c>
      <c r="F6" s="12">
        <f>IF(B6=0,0,(D6/(B6*24*365)))</f>
        <v>0</v>
      </c>
      <c r="G6">
        <f>'New methodology WACM1 (Input)'!G6</f>
        <v>0</v>
      </c>
      <c r="Y6" t="str">
        <f>VLOOKUP(C6,'Technology Types'!$B$4:$C$18,2,FALSE)</f>
        <v>Conventional Carbon</v>
      </c>
    </row>
    <row r="8" spans="1:25" x14ac:dyDescent="0.35">
      <c r="A8" s="1" t="s">
        <v>18</v>
      </c>
    </row>
    <row r="9" spans="1:25" x14ac:dyDescent="0.35">
      <c r="A9" s="1"/>
      <c r="B9" s="3" t="s">
        <v>9</v>
      </c>
      <c r="C9" s="3" t="s">
        <v>19</v>
      </c>
      <c r="D9" s="3" t="s">
        <v>20</v>
      </c>
      <c r="E9" s="3" t="s">
        <v>10</v>
      </c>
    </row>
    <row r="10" spans="1:25" x14ac:dyDescent="0.35">
      <c r="A10" s="1"/>
      <c r="B10" s="8">
        <f>'New methodology WACM1 (Input)'!B10</f>
        <v>5</v>
      </c>
      <c r="C10" s="8">
        <f>'New methodology WACM1 (Input)'!C10</f>
        <v>15</v>
      </c>
      <c r="D10" s="8">
        <f>'New methodology WACM1 (Input)'!D10</f>
        <v>12</v>
      </c>
      <c r="E10" s="8">
        <f>'New methodology WACM1 (Input)'!E10</f>
        <v>-1</v>
      </c>
      <c r="F10" s="11"/>
      <c r="G10" s="11"/>
      <c r="H10" s="11"/>
    </row>
    <row r="13" spans="1:25" x14ac:dyDescent="0.35">
      <c r="A13" s="16" t="s">
        <v>29</v>
      </c>
      <c r="B13" s="2"/>
      <c r="C13" s="7" t="s">
        <v>81</v>
      </c>
      <c r="D13" s="4"/>
      <c r="J13" s="5"/>
      <c r="K13" s="5"/>
      <c r="M13" s="4"/>
      <c r="N13" s="2"/>
      <c r="O13" s="5"/>
      <c r="Q13" s="6"/>
    </row>
    <row r="14" spans="1:25" x14ac:dyDescent="0.35">
      <c r="B14" s="2"/>
      <c r="D14" s="4"/>
      <c r="I14" s="5"/>
      <c r="J14" s="5"/>
      <c r="K14" s="5"/>
      <c r="M14" s="4"/>
      <c r="N14" s="2"/>
      <c r="O14" s="5"/>
      <c r="Q14" s="6"/>
    </row>
    <row r="15" spans="1:25" x14ac:dyDescent="0.35">
      <c r="A15" t="s">
        <v>30</v>
      </c>
      <c r="B15" s="9">
        <f>IF(B10&gt;0,(J3*B10),(J4*B10))</f>
        <v>350</v>
      </c>
      <c r="D15" s="4"/>
      <c r="F15" s="7" t="s">
        <v>46</v>
      </c>
      <c r="G15" s="7"/>
      <c r="I15" s="5"/>
      <c r="J15" s="5"/>
      <c r="K15" s="5"/>
      <c r="M15" s="4"/>
      <c r="N15" s="2"/>
      <c r="O15" s="5"/>
      <c r="Q15" s="6"/>
    </row>
    <row r="16" spans="1:25" x14ac:dyDescent="0.35">
      <c r="A16" t="s">
        <v>32</v>
      </c>
      <c r="B16" s="9">
        <f>IF(C10&gt;0,(J3*M3*C10),(J4*M3*C10))</f>
        <v>159.87</v>
      </c>
      <c r="C16" s="7" t="s">
        <v>33</v>
      </c>
      <c r="F16" s="7" t="s">
        <v>48</v>
      </c>
      <c r="G16" s="7"/>
      <c r="J16" s="6"/>
      <c r="O16" s="6"/>
    </row>
    <row r="17" spans="1:17" x14ac:dyDescent="0.35">
      <c r="A17" t="s">
        <v>31</v>
      </c>
      <c r="B17" s="9">
        <f>IF(D10&gt;0,(J3*D10),(J4*D10))</f>
        <v>840</v>
      </c>
      <c r="C17" s="7" t="s">
        <v>35</v>
      </c>
      <c r="F17" s="7" t="s">
        <v>49</v>
      </c>
      <c r="G17" s="7"/>
      <c r="Q17" s="6"/>
    </row>
    <row r="18" spans="1:17" x14ac:dyDescent="0.35">
      <c r="A18" t="s">
        <v>10</v>
      </c>
      <c r="B18" s="9">
        <f>IF(E10&gt;0,(J3*E10),(J4*E10))</f>
        <v>-63</v>
      </c>
      <c r="C18" s="13" t="s">
        <v>82</v>
      </c>
      <c r="F18" s="7"/>
      <c r="G18" s="7"/>
      <c r="Q18" s="6"/>
    </row>
    <row r="19" spans="1:17" x14ac:dyDescent="0.35">
      <c r="Q19" s="6"/>
    </row>
    <row r="20" spans="1:17" x14ac:dyDescent="0.35">
      <c r="A20" s="16" t="s">
        <v>36</v>
      </c>
    </row>
    <row r="22" spans="1:17" x14ac:dyDescent="0.35">
      <c r="B22" t="s">
        <v>28</v>
      </c>
      <c r="C22" t="s">
        <v>19</v>
      </c>
      <c r="D22" t="s">
        <v>20</v>
      </c>
      <c r="E22" t="s">
        <v>10</v>
      </c>
      <c r="F22" s="13" t="s">
        <v>39</v>
      </c>
      <c r="G22" s="13"/>
    </row>
    <row r="23" spans="1:17" x14ac:dyDescent="0.35">
      <c r="A23" t="s">
        <v>22</v>
      </c>
      <c r="B23" s="9">
        <f>IF(Y4="Intermittent",0,IF($B$10&gt;0,(B4*$B$10),(G4*$B$10)))</f>
        <v>0</v>
      </c>
      <c r="C23" s="9">
        <f>IF($C$10&gt;0,(B4*$C$10*F4),(G4*$C$10*F4))</f>
        <v>140.30999999999997</v>
      </c>
      <c r="D23" s="9">
        <f>IF(Y4="Intermittent",(IF($D$10&gt;0,(B4*$D$10),(G4*$D$10))),(IF($D$10&gt;0,(B4*$D$10*F4),(G4*$D$10*F4))))</f>
        <v>240</v>
      </c>
      <c r="E23" s="9">
        <f>IF($E$10&gt;0,(B4*$E$10),(G4*$E$10))</f>
        <v>-18</v>
      </c>
      <c r="F23" s="13" t="s">
        <v>40</v>
      </c>
      <c r="G23" s="13"/>
    </row>
    <row r="24" spans="1:17" x14ac:dyDescent="0.35">
      <c r="A24" t="s">
        <v>23</v>
      </c>
      <c r="B24" s="9">
        <f t="shared" ref="B24:B25" si="0">IF(Y5="Intermittent",0,IF($B$10&gt;0,(B5*$B$10),(G5*$B$10)))</f>
        <v>400</v>
      </c>
      <c r="C24" s="9">
        <f t="shared" ref="C24:C25" si="1">IF($C$10&gt;0,(B5*$C$10*F5),(G5*$C$10*F5))</f>
        <v>19.559999999999999</v>
      </c>
      <c r="D24" s="9">
        <f t="shared" ref="D24:D25" si="2">IF(Y5="Intermittent",(IF($D$10&gt;0,(B5*$D$10),(G5*$D$10))),(IF($D$10&gt;0,(B5*$D$10*F5),(G5*$D$10*F5))))</f>
        <v>15.647999999999998</v>
      </c>
      <c r="E24" s="9">
        <f t="shared" ref="E24:E25" si="3">IF($E$10&gt;0,(B5*$E$10),(G5*$E$10))</f>
        <v>-72</v>
      </c>
      <c r="I24" s="1"/>
      <c r="J24" s="9"/>
    </row>
    <row r="25" spans="1:17" x14ac:dyDescent="0.35">
      <c r="A25" t="s">
        <v>24</v>
      </c>
      <c r="B25" s="9">
        <f t="shared" si="0"/>
        <v>0</v>
      </c>
      <c r="C25" s="9">
        <f t="shared" si="1"/>
        <v>0</v>
      </c>
      <c r="D25" s="9">
        <f t="shared" si="2"/>
        <v>0</v>
      </c>
      <c r="E25" s="9">
        <f t="shared" si="3"/>
        <v>0</v>
      </c>
      <c r="J25" t="s">
        <v>47</v>
      </c>
    </row>
    <row r="26" spans="1:17" x14ac:dyDescent="0.35">
      <c r="A26" t="s">
        <v>21</v>
      </c>
      <c r="B26" s="15">
        <f>SUM(B23:B25)</f>
        <v>400</v>
      </c>
      <c r="C26" s="15">
        <f t="shared" ref="C26:E26" si="4">SUM(C23:C25)</f>
        <v>159.86999999999998</v>
      </c>
      <c r="D26" s="15">
        <f t="shared" si="4"/>
        <v>255.648</v>
      </c>
      <c r="E26" s="15">
        <f t="shared" si="4"/>
        <v>-90</v>
      </c>
      <c r="G26" s="9"/>
    </row>
    <row r="27" spans="1:17" x14ac:dyDescent="0.35">
      <c r="B27" s="9"/>
      <c r="C27" s="9"/>
      <c r="J27" s="9"/>
    </row>
    <row r="28" spans="1:17" x14ac:dyDescent="0.35">
      <c r="A28" s="16" t="s">
        <v>45</v>
      </c>
    </row>
    <row r="29" spans="1:17" x14ac:dyDescent="0.35">
      <c r="B29" s="9"/>
      <c r="C29" s="9"/>
      <c r="N29" s="7"/>
    </row>
    <row r="30" spans="1:17" x14ac:dyDescent="0.35">
      <c r="A30" t="s">
        <v>27</v>
      </c>
      <c r="B30" s="9">
        <f>IF(B10&gt;0,(MIN(B15,B26)),(MAX(B15,B26)))</f>
        <v>350</v>
      </c>
    </row>
    <row r="31" spans="1:17" x14ac:dyDescent="0.35">
      <c r="A31" t="s">
        <v>32</v>
      </c>
      <c r="B31" s="9">
        <f>IF(C10&gt;0,(MIN(B16,C26)),(MAX(B16,C26)))</f>
        <v>159.86999999999998</v>
      </c>
    </row>
    <row r="32" spans="1:17" x14ac:dyDescent="0.35">
      <c r="A32" t="s">
        <v>31</v>
      </c>
      <c r="B32" s="9">
        <f>IF(D10&gt;0,(MIN(B17,D26)),(MAX(B17,D26)))</f>
        <v>255.648</v>
      </c>
    </row>
    <row r="33" spans="1:4" x14ac:dyDescent="0.35">
      <c r="A33" t="s">
        <v>10</v>
      </c>
      <c r="B33" s="14">
        <f>IF(E10&gt;0,(MIN(B18,E26)),(MAX(B18,E26)))</f>
        <v>-63</v>
      </c>
    </row>
    <row r="34" spans="1:4" x14ac:dyDescent="0.35">
      <c r="A34" t="s">
        <v>21</v>
      </c>
      <c r="B34" s="14">
        <f>SUM(B30:B33)</f>
        <v>702.51800000000003</v>
      </c>
    </row>
    <row r="35" spans="1:4" x14ac:dyDescent="0.35">
      <c r="B35" s="7"/>
    </row>
    <row r="36" spans="1:4" x14ac:dyDescent="0.35">
      <c r="A36" s="16" t="s">
        <v>42</v>
      </c>
    </row>
    <row r="37" spans="1:4" x14ac:dyDescent="0.35">
      <c r="B37" t="s">
        <v>43</v>
      </c>
      <c r="C37" t="s">
        <v>44</v>
      </c>
    </row>
    <row r="38" spans="1:4" x14ac:dyDescent="0.35">
      <c r="A38" t="s">
        <v>27</v>
      </c>
      <c r="B38" s="9">
        <f>B30</f>
        <v>350</v>
      </c>
      <c r="C38" s="9">
        <f>'WACM1 old methodology'!B28</f>
        <v>350</v>
      </c>
      <c r="D38" t="str">
        <f>IF(B38=C38,"MATCH","NON MATCH")</f>
        <v>MATCH</v>
      </c>
    </row>
    <row r="39" spans="1:4" x14ac:dyDescent="0.35">
      <c r="A39" t="s">
        <v>32</v>
      </c>
      <c r="B39" s="9">
        <f t="shared" ref="B39:B41" si="5">B31</f>
        <v>159.86999999999998</v>
      </c>
      <c r="C39" s="9">
        <f>'WACM1 old methodology'!C28</f>
        <v>159.87</v>
      </c>
      <c r="D39" t="str">
        <f t="shared" ref="D39:D42" si="6">IF(B39=C39,"MATCH","NON MATCH")</f>
        <v>MATCH</v>
      </c>
    </row>
    <row r="40" spans="1:4" x14ac:dyDescent="0.35">
      <c r="A40" t="s">
        <v>31</v>
      </c>
      <c r="B40" s="9">
        <f t="shared" si="5"/>
        <v>255.648</v>
      </c>
      <c r="C40" s="9">
        <f>'WACM1 old methodology'!D28</f>
        <v>262.35428571428571</v>
      </c>
      <c r="D40" t="str">
        <f t="shared" si="6"/>
        <v>NON MATCH</v>
      </c>
    </row>
    <row r="41" spans="1:4" x14ac:dyDescent="0.35">
      <c r="A41" t="s">
        <v>10</v>
      </c>
      <c r="B41" s="9">
        <f t="shared" si="5"/>
        <v>-63</v>
      </c>
      <c r="C41" s="9">
        <f>'WACM1 old methodology'!E28</f>
        <v>-63.000000000000007</v>
      </c>
      <c r="D41" t="str">
        <f t="shared" si="6"/>
        <v>MATCH</v>
      </c>
    </row>
    <row r="42" spans="1:4" x14ac:dyDescent="0.35">
      <c r="A42" t="s">
        <v>21</v>
      </c>
      <c r="B42" s="9">
        <f>SUM(B38:B41)</f>
        <v>702.51800000000003</v>
      </c>
      <c r="C42" s="9">
        <f>'WACM1 old methodology'!B31</f>
        <v>709.22428571428577</v>
      </c>
      <c r="D42" t="str">
        <f t="shared" si="6"/>
        <v>NON MATCH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DA087-96E9-45A0-B0B5-6B4D44C8512B}">
  <dimension ref="A1:Q31"/>
  <sheetViews>
    <sheetView workbookViewId="0">
      <selection activeCell="C13" sqref="C13"/>
    </sheetView>
  </sheetViews>
  <sheetFormatPr defaultRowHeight="14.5" x14ac:dyDescent="0.35"/>
  <cols>
    <col min="2" max="2" width="20.90625" customWidth="1"/>
    <col min="3" max="3" width="12.453125" customWidth="1"/>
    <col min="4" max="4" width="21.90625" customWidth="1"/>
    <col min="5" max="5" width="18.1796875" customWidth="1"/>
    <col min="7" max="7" width="14.453125" bestFit="1" customWidth="1"/>
    <col min="9" max="9" width="14.1796875" bestFit="1" customWidth="1"/>
    <col min="10" max="10" width="14.1796875" customWidth="1"/>
    <col min="12" max="13" width="14.81640625" bestFit="1" customWidth="1"/>
    <col min="14" max="14" width="10.1796875" bestFit="1" customWidth="1"/>
    <col min="15" max="15" width="10.54296875" customWidth="1"/>
  </cols>
  <sheetData>
    <row r="1" spans="1:17" x14ac:dyDescent="0.35">
      <c r="A1" s="1" t="s">
        <v>12</v>
      </c>
    </row>
    <row r="3" spans="1:17" ht="39" customHeight="1" x14ac:dyDescent="0.35">
      <c r="A3" s="3"/>
      <c r="B3" s="3" t="s">
        <v>3</v>
      </c>
      <c r="C3" s="3" t="s">
        <v>4</v>
      </c>
      <c r="D3" s="3" t="s">
        <v>5</v>
      </c>
      <c r="E3" s="17" t="s">
        <v>50</v>
      </c>
      <c r="G3" t="s">
        <v>8</v>
      </c>
      <c r="H3">
        <f>'New methodology WACM1 (Input)'!J3</f>
        <v>70</v>
      </c>
      <c r="O3" s="18" t="s">
        <v>72</v>
      </c>
      <c r="P3" t="s">
        <v>73</v>
      </c>
      <c r="Q3" t="s">
        <v>74</v>
      </c>
    </row>
    <row r="4" spans="1:17" x14ac:dyDescent="0.35">
      <c r="A4" s="3" t="s">
        <v>0</v>
      </c>
      <c r="B4" s="3">
        <f>'New methodology WACM1 (Input)'!B4</f>
        <v>20</v>
      </c>
      <c r="C4" s="3" t="str">
        <f>'New methodology WACM1 (Input)'!C4</f>
        <v>Onshore Wind</v>
      </c>
      <c r="D4" s="3">
        <f>'New methodology WACM1 (Input)'!D4</f>
        <v>81941.039999999994</v>
      </c>
      <c r="E4">
        <f>'New methodology WACM1 (Input)'!G4</f>
        <v>18</v>
      </c>
      <c r="G4" t="s">
        <v>51</v>
      </c>
      <c r="H4">
        <f>'New methodology WACM1 (Input)'!J4</f>
        <v>63</v>
      </c>
      <c r="O4" s="18" t="str">
        <f>VLOOKUP(C4,'Technology Types'!$B$4:$C$18,2,FALSE)</f>
        <v>Intermittent</v>
      </c>
      <c r="P4">
        <f>IF(O4="Intermittent",0,B4)</f>
        <v>0</v>
      </c>
      <c r="Q4">
        <f>IF(O4="Intermittent",0,E4)</f>
        <v>0</v>
      </c>
    </row>
    <row r="5" spans="1:17" x14ac:dyDescent="0.35">
      <c r="A5" s="3" t="s">
        <v>1</v>
      </c>
      <c r="B5" s="3">
        <f>'New methodology WACM1 (Input)'!B5</f>
        <v>80</v>
      </c>
      <c r="C5" s="3" t="str">
        <f>'New methodology WACM1 (Input)'!C5</f>
        <v>Battery Storage</v>
      </c>
      <c r="D5" s="3">
        <f>'New methodology WACM1 (Input)'!D5</f>
        <v>11423.039999999999</v>
      </c>
      <c r="E5">
        <f>'New methodology WACM1 (Input)'!G5</f>
        <v>72</v>
      </c>
      <c r="O5" s="18" t="str">
        <f>VLOOKUP(C5,'Technology Types'!$B$4:$C$18,2,FALSE)</f>
        <v>Conventional Carbon</v>
      </c>
      <c r="P5">
        <f t="shared" ref="P5:P6" si="0">IF(O5="Intermittent",0,B5)</f>
        <v>80</v>
      </c>
      <c r="Q5">
        <f t="shared" ref="Q5:Q6" si="1">IF(O5="Intermittent",0,E5)</f>
        <v>72</v>
      </c>
    </row>
    <row r="6" spans="1:17" x14ac:dyDescent="0.35">
      <c r="A6" s="3" t="s">
        <v>2</v>
      </c>
      <c r="B6" s="3">
        <f>'New methodology WACM1 (Input)'!B6</f>
        <v>0</v>
      </c>
      <c r="C6" s="3" t="str">
        <f>'New methodology WACM1 (Input)'!C6</f>
        <v>Battery Storage</v>
      </c>
      <c r="D6" s="3">
        <f>'New methodology WACM1 (Input)'!D6</f>
        <v>0</v>
      </c>
      <c r="E6">
        <f>'New methodology WACM1 (Input)'!G6</f>
        <v>0</v>
      </c>
      <c r="O6" s="18" t="str">
        <f>VLOOKUP(C6,'Technology Types'!$B$4:$C$18,2,FALSE)</f>
        <v>Conventional Carbon</v>
      </c>
      <c r="P6">
        <f t="shared" si="0"/>
        <v>0</v>
      </c>
      <c r="Q6">
        <f t="shared" si="1"/>
        <v>0</v>
      </c>
    </row>
    <row r="7" spans="1:17" x14ac:dyDescent="0.35">
      <c r="O7" s="18"/>
    </row>
    <row r="8" spans="1:17" x14ac:dyDescent="0.35">
      <c r="A8" s="1" t="s">
        <v>18</v>
      </c>
    </row>
    <row r="9" spans="1:17" x14ac:dyDescent="0.35">
      <c r="A9" s="1"/>
      <c r="B9" s="3" t="s">
        <v>9</v>
      </c>
      <c r="C9" s="3" t="s">
        <v>19</v>
      </c>
      <c r="D9" s="3" t="s">
        <v>20</v>
      </c>
      <c r="E9" s="3" t="s">
        <v>10</v>
      </c>
    </row>
    <row r="10" spans="1:17" x14ac:dyDescent="0.35">
      <c r="A10" s="1"/>
      <c r="B10" s="8">
        <f>'New methodology WACM1 (Input)'!B10</f>
        <v>5</v>
      </c>
      <c r="C10" s="8">
        <f>'New methodology WACM1 (Input)'!C10</f>
        <v>15</v>
      </c>
      <c r="D10" s="8">
        <f>'New methodology WACM1 (Input)'!D10</f>
        <v>12</v>
      </c>
      <c r="E10" s="8">
        <f>'New methodology WACM1 (Input)'!E10</f>
        <v>-1</v>
      </c>
      <c r="F10" s="11"/>
    </row>
    <row r="12" spans="1:17" x14ac:dyDescent="0.35">
      <c r="A12" t="s">
        <v>77</v>
      </c>
      <c r="B12" t="s">
        <v>7</v>
      </c>
      <c r="C12" t="s">
        <v>13</v>
      </c>
      <c r="D12" t="s">
        <v>11</v>
      </c>
      <c r="G12" t="s">
        <v>14</v>
      </c>
      <c r="H12" t="s">
        <v>15</v>
      </c>
      <c r="I12" t="s">
        <v>17</v>
      </c>
      <c r="K12" t="s">
        <v>26</v>
      </c>
      <c r="L12" t="s">
        <v>25</v>
      </c>
      <c r="M12" t="s">
        <v>16</v>
      </c>
    </row>
    <row r="13" spans="1:17" x14ac:dyDescent="0.35">
      <c r="A13" t="s">
        <v>0</v>
      </c>
      <c r="B13" s="2">
        <f>IF(SUM($B$4:$B$6)&gt;$H$3,B4/SUM($B$4:$B$6)*$H$3,B4)</f>
        <v>14</v>
      </c>
      <c r="C13">
        <f>MIN(P4/SUM($P$4:$P$6)*$H$3,P4)</f>
        <v>0</v>
      </c>
      <c r="D13" s="4">
        <f>D4/(B13*24*365)</f>
        <v>0.66814285714285704</v>
      </c>
      <c r="G13" s="5">
        <f>C13*$B$10</f>
        <v>0</v>
      </c>
      <c r="H13" s="5">
        <f>D13*B13*$C$10</f>
        <v>140.31</v>
      </c>
      <c r="I13" s="5">
        <f>B13*$E$10</f>
        <v>-14</v>
      </c>
      <c r="K13" s="4">
        <f>IF(O4="Conventional Carbon",D13,1)</f>
        <v>1</v>
      </c>
      <c r="L13" s="2">
        <f>MIN((K13*B4/SUMPRODUCT($K$13:$K$15,$B$4:$B$6))*$H$3,K13*B4)</f>
        <v>20</v>
      </c>
      <c r="M13" s="5">
        <f>L13*$D$10</f>
        <v>240</v>
      </c>
      <c r="O13" s="6">
        <f>G13+H13+M13+I13</f>
        <v>366.31</v>
      </c>
    </row>
    <row r="14" spans="1:17" x14ac:dyDescent="0.35">
      <c r="A14" t="s">
        <v>1</v>
      </c>
      <c r="B14" s="2">
        <f t="shared" ref="B14:B15" si="2">IF(SUM($B$4:$B$6)&gt;$H$3,B5/SUM($B$4:$B$6)*$H$3,B5)</f>
        <v>56</v>
      </c>
      <c r="C14">
        <f t="shared" ref="C14:C15" si="3">MIN(P5/SUM($P$4:$P$6)*$H$3,P5)</f>
        <v>70</v>
      </c>
      <c r="D14" s="4">
        <f>D5/(B14*24*365)</f>
        <v>2.3285714285714285E-2</v>
      </c>
      <c r="G14" s="5">
        <f t="shared" ref="G14:G15" si="4">C14*$B$10</f>
        <v>350</v>
      </c>
      <c r="H14" s="5">
        <f t="shared" ref="H14:H15" si="5">D14*B14*$C$10</f>
        <v>19.559999999999999</v>
      </c>
      <c r="I14" s="5">
        <f>B14*$E$10</f>
        <v>-56</v>
      </c>
      <c r="K14" s="4">
        <f t="shared" ref="K14:K15" si="6">IF(O5="Conventional Carbon",D14,1)</f>
        <v>2.3285714285714285E-2</v>
      </c>
      <c r="L14" s="2">
        <f t="shared" ref="L14:L15" si="7">MIN((K14*B5/SUMPRODUCT($K$13:$K$15,$B$4:$B$6))*$H$3,K14*B5)</f>
        <v>1.8628571428571428</v>
      </c>
      <c r="M14" s="5">
        <f t="shared" ref="M14:M15" si="8">L14*$D$10</f>
        <v>22.354285714285712</v>
      </c>
      <c r="O14" s="6">
        <f>G14+H14+M14+I14</f>
        <v>335.91428571428571</v>
      </c>
    </row>
    <row r="15" spans="1:17" x14ac:dyDescent="0.35">
      <c r="A15" t="s">
        <v>2</v>
      </c>
      <c r="B15" s="2">
        <f t="shared" si="2"/>
        <v>0</v>
      </c>
      <c r="C15">
        <f t="shared" si="3"/>
        <v>0</v>
      </c>
      <c r="D15" s="4">
        <f>IF(B6=0,0,(D6/(B15*24*365)))</f>
        <v>0</v>
      </c>
      <c r="G15" s="5">
        <f t="shared" si="4"/>
        <v>0</v>
      </c>
      <c r="H15" s="5">
        <f t="shared" si="5"/>
        <v>0</v>
      </c>
      <c r="I15" s="5">
        <f>B15*$E$10</f>
        <v>0</v>
      </c>
      <c r="K15" s="4">
        <f t="shared" si="6"/>
        <v>0</v>
      </c>
      <c r="L15" s="2">
        <f t="shared" si="7"/>
        <v>0</v>
      </c>
      <c r="M15" s="5">
        <f t="shared" si="8"/>
        <v>0</v>
      </c>
      <c r="O15" s="6">
        <f>G15+H15+M15+I15</f>
        <v>0</v>
      </c>
    </row>
    <row r="17" spans="1:15" x14ac:dyDescent="0.35">
      <c r="O17" s="6"/>
    </row>
    <row r="18" spans="1:15" x14ac:dyDescent="0.35">
      <c r="A18" t="s">
        <v>78</v>
      </c>
      <c r="B18" t="s">
        <v>53</v>
      </c>
      <c r="C18" t="s">
        <v>54</v>
      </c>
      <c r="D18" t="s">
        <v>75</v>
      </c>
      <c r="G18" t="s">
        <v>14</v>
      </c>
      <c r="H18" t="s">
        <v>15</v>
      </c>
      <c r="I18" t="s">
        <v>17</v>
      </c>
      <c r="K18" t="s">
        <v>26</v>
      </c>
      <c r="L18" t="s">
        <v>25</v>
      </c>
      <c r="M18" t="s">
        <v>16</v>
      </c>
    </row>
    <row r="19" spans="1:15" x14ac:dyDescent="0.35">
      <c r="A19" t="s">
        <v>0</v>
      </c>
      <c r="B19">
        <f>IF(SUM($E$4:$E$6)&gt;$H$4,E4/SUM($E$4:$E$6)*$H$4,E4)</f>
        <v>12.600000000000001</v>
      </c>
      <c r="C19">
        <f>MIN(P4/SUM($Q$4:$Q$6)*$H$3,Q4)</f>
        <v>0</v>
      </c>
      <c r="D19" s="19">
        <f>D13</f>
        <v>0.66814285714285704</v>
      </c>
      <c r="G19">
        <f>$B$10*C19</f>
        <v>0</v>
      </c>
      <c r="H19">
        <f>$C$10*B19*D19</f>
        <v>126.279</v>
      </c>
      <c r="I19">
        <f>$E$10*B19</f>
        <v>-12.600000000000001</v>
      </c>
      <c r="K19" s="19">
        <f>K13</f>
        <v>1</v>
      </c>
      <c r="L19">
        <f>MIN((K19*E4/SUMPRODUCT($K$19:$K$21,$E$4:$E$6))*$H$4,K19*E4)</f>
        <v>18</v>
      </c>
      <c r="M19">
        <f>$D$10*L19</f>
        <v>216</v>
      </c>
    </row>
    <row r="20" spans="1:15" x14ac:dyDescent="0.35">
      <c r="A20" t="s">
        <v>1</v>
      </c>
      <c r="B20">
        <f t="shared" ref="B20:B21" si="9">IF(SUM($E$4:$E$6)&gt;$H$4,E5/SUM($E$4:$E$6)*$H$4,E5)</f>
        <v>50.400000000000006</v>
      </c>
      <c r="C20">
        <f t="shared" ref="C20:C21" si="10">MIN(P5/SUM($Q$4:$Q$6)*$H$3,Q5)</f>
        <v>72</v>
      </c>
      <c r="D20" s="19">
        <f t="shared" ref="D20:D21" si="11">D14</f>
        <v>2.3285714285714285E-2</v>
      </c>
      <c r="G20">
        <f t="shared" ref="G20:G21" si="12">$B$10*C20</f>
        <v>360</v>
      </c>
      <c r="H20">
        <f t="shared" ref="H20:H21" si="13">$C$10*B20*D20</f>
        <v>17.604000000000003</v>
      </c>
      <c r="I20">
        <f t="shared" ref="I20:I21" si="14">$E$10*B20</f>
        <v>-50.400000000000006</v>
      </c>
      <c r="K20" s="19">
        <f t="shared" ref="K20:K21" si="15">K14</f>
        <v>2.3285714285714285E-2</v>
      </c>
      <c r="L20">
        <f t="shared" ref="L20:L21" si="16">MIN((K20*E5/SUMPRODUCT($K$19:$K$21,$E$4:$E$6))*$H$4,K20*E5)</f>
        <v>1.6765714285714286</v>
      </c>
      <c r="M20">
        <f t="shared" ref="M20:M21" si="17">$D$10*L20</f>
        <v>20.118857142857145</v>
      </c>
    </row>
    <row r="21" spans="1:15" x14ac:dyDescent="0.35">
      <c r="A21" t="s">
        <v>2</v>
      </c>
      <c r="B21">
        <f t="shared" si="9"/>
        <v>0</v>
      </c>
      <c r="C21">
        <f t="shared" si="10"/>
        <v>0</v>
      </c>
      <c r="D21" s="19">
        <f t="shared" si="11"/>
        <v>0</v>
      </c>
      <c r="G21">
        <f t="shared" si="12"/>
        <v>0</v>
      </c>
      <c r="H21">
        <f t="shared" si="13"/>
        <v>0</v>
      </c>
      <c r="I21">
        <f t="shared" si="14"/>
        <v>0</v>
      </c>
      <c r="K21" s="19">
        <f t="shared" si="15"/>
        <v>0</v>
      </c>
      <c r="L21">
        <f t="shared" si="16"/>
        <v>0</v>
      </c>
      <c r="M21">
        <f t="shared" si="17"/>
        <v>0</v>
      </c>
    </row>
    <row r="24" spans="1:15" x14ac:dyDescent="0.35">
      <c r="A24" t="s">
        <v>76</v>
      </c>
      <c r="B24" t="s">
        <v>28</v>
      </c>
      <c r="C24" t="s">
        <v>19</v>
      </c>
      <c r="D24" t="s">
        <v>20</v>
      </c>
      <c r="E24" t="s">
        <v>10</v>
      </c>
    </row>
    <row r="25" spans="1:15" x14ac:dyDescent="0.35">
      <c r="A25" t="s">
        <v>22</v>
      </c>
      <c r="B25">
        <f>IF(B$10&gt;0,G13,G19)</f>
        <v>0</v>
      </c>
      <c r="C25">
        <f>IF(C$10&gt;0,H13,H19)</f>
        <v>140.31</v>
      </c>
      <c r="D25">
        <f>IF(D$10&gt;0,M13,M19)</f>
        <v>240</v>
      </c>
      <c r="E25">
        <f>IF(E$10&gt;0,I13,I19)</f>
        <v>-12.600000000000001</v>
      </c>
    </row>
    <row r="26" spans="1:15" x14ac:dyDescent="0.35">
      <c r="A26" t="s">
        <v>23</v>
      </c>
      <c r="B26">
        <f t="shared" ref="B26:B27" si="18">IF(B$10&gt;0,G14,G20)</f>
        <v>350</v>
      </c>
      <c r="C26">
        <f t="shared" ref="C26:C27" si="19">IF(C$10&gt;0,H14,H20)</f>
        <v>19.559999999999999</v>
      </c>
      <c r="D26">
        <f t="shared" ref="D26:D27" si="20">IF(D$10&gt;0,M14,M20)</f>
        <v>22.354285714285712</v>
      </c>
      <c r="E26">
        <f t="shared" ref="E26:E27" si="21">IF(E$10&gt;0,I14,I20)</f>
        <v>-50.400000000000006</v>
      </c>
    </row>
    <row r="27" spans="1:15" x14ac:dyDescent="0.35">
      <c r="A27" t="s">
        <v>24</v>
      </c>
      <c r="B27">
        <f t="shared" si="18"/>
        <v>0</v>
      </c>
      <c r="C27">
        <f t="shared" si="19"/>
        <v>0</v>
      </c>
      <c r="D27">
        <f t="shared" si="20"/>
        <v>0</v>
      </c>
      <c r="E27">
        <f t="shared" si="21"/>
        <v>0</v>
      </c>
    </row>
    <row r="28" spans="1:15" x14ac:dyDescent="0.35">
      <c r="B28">
        <f>SUM(B25:B27)</f>
        <v>350</v>
      </c>
      <c r="C28">
        <f t="shared" ref="C28:E28" si="22">SUM(C25:C27)</f>
        <v>159.87</v>
      </c>
      <c r="D28">
        <f t="shared" si="22"/>
        <v>262.35428571428571</v>
      </c>
      <c r="E28">
        <f t="shared" si="22"/>
        <v>-63.000000000000007</v>
      </c>
    </row>
    <row r="31" spans="1:15" x14ac:dyDescent="0.35">
      <c r="A31" s="1" t="s">
        <v>79</v>
      </c>
      <c r="B31">
        <f>SUM(B28:E28)</f>
        <v>709.22428571428577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CD688-7134-4640-BBD2-31251D4A01AF}">
  <dimension ref="A1:Q32"/>
  <sheetViews>
    <sheetView workbookViewId="0">
      <selection activeCell="G7" sqref="G7"/>
    </sheetView>
  </sheetViews>
  <sheetFormatPr defaultRowHeight="14.5" x14ac:dyDescent="0.35"/>
  <cols>
    <col min="2" max="2" width="20.90625" customWidth="1"/>
    <col min="3" max="3" width="12.453125" customWidth="1"/>
    <col min="4" max="4" width="21.90625" customWidth="1"/>
    <col min="5" max="5" width="18.1796875" customWidth="1"/>
    <col min="7" max="7" width="14.453125" bestFit="1" customWidth="1"/>
    <col min="8" max="8" width="10.08984375" bestFit="1" customWidth="1"/>
    <col min="9" max="9" width="14.1796875" bestFit="1" customWidth="1"/>
    <col min="10" max="10" width="14.1796875" customWidth="1"/>
    <col min="12" max="13" width="14.81640625" bestFit="1" customWidth="1"/>
    <col min="14" max="14" width="10.1796875" bestFit="1" customWidth="1"/>
    <col min="15" max="15" width="10.54296875" customWidth="1"/>
  </cols>
  <sheetData>
    <row r="1" spans="1:17" x14ac:dyDescent="0.35">
      <c r="A1" s="1" t="s">
        <v>12</v>
      </c>
    </row>
    <row r="3" spans="1:17" ht="39" customHeight="1" x14ac:dyDescent="0.35">
      <c r="A3" s="3"/>
      <c r="B3" s="3" t="s">
        <v>3</v>
      </c>
      <c r="C3" s="3" t="s">
        <v>4</v>
      </c>
      <c r="D3" s="3" t="s">
        <v>5</v>
      </c>
      <c r="E3" s="17" t="s">
        <v>50</v>
      </c>
      <c r="G3" t="s">
        <v>8</v>
      </c>
      <c r="H3">
        <f>'New methodology WACM1 (Input)'!J3</f>
        <v>70</v>
      </c>
      <c r="L3" t="str">
        <f>'New methodology WACM1 (Input)'!Y3</f>
        <v>Technology type</v>
      </c>
      <c r="O3" s="18" t="s">
        <v>72</v>
      </c>
      <c r="P3" t="s">
        <v>73</v>
      </c>
      <c r="Q3" t="s">
        <v>74</v>
      </c>
    </row>
    <row r="4" spans="1:17" x14ac:dyDescent="0.35">
      <c r="A4" s="3" t="s">
        <v>0</v>
      </c>
      <c r="B4" s="3">
        <f>'New methodology WACM1 (Input)'!B4</f>
        <v>20</v>
      </c>
      <c r="C4" s="3" t="str">
        <f>'New methodology WACM1 (Input)'!C4</f>
        <v>Onshore Wind</v>
      </c>
      <c r="D4" s="3">
        <f>'New methodology WACM1 (Input)'!D4</f>
        <v>81941.039999999994</v>
      </c>
      <c r="E4">
        <f>'New methodology WACM1 (Input)'!G4</f>
        <v>18</v>
      </c>
      <c r="G4" t="s">
        <v>51</v>
      </c>
      <c r="H4">
        <f>'New methodology WACM1 (Input)'!J4</f>
        <v>63</v>
      </c>
      <c r="L4" t="str">
        <f>'New methodology WACM1 (Input)'!Y4</f>
        <v>Intermittent</v>
      </c>
      <c r="O4" s="18" t="str">
        <f>VLOOKUP(C4,'Technology Types'!$B$4:$C$18,2,FALSE)</f>
        <v>Intermittent</v>
      </c>
      <c r="P4">
        <f>IF(O4="Intermittent",0,B4)</f>
        <v>0</v>
      </c>
      <c r="Q4">
        <f>IF(O4="Intermittent",0,E4)</f>
        <v>0</v>
      </c>
    </row>
    <row r="5" spans="1:17" x14ac:dyDescent="0.35">
      <c r="A5" s="3" t="s">
        <v>1</v>
      </c>
      <c r="B5" s="3">
        <f>'New methodology WACM1 (Input)'!B5</f>
        <v>80</v>
      </c>
      <c r="C5" s="3" t="str">
        <f>'New methodology WACM1 (Input)'!C5</f>
        <v>Battery Storage</v>
      </c>
      <c r="D5" s="3">
        <f>'New methodology WACM1 (Input)'!D5</f>
        <v>11423.039999999999</v>
      </c>
      <c r="E5">
        <f>'New methodology WACM1 (Input)'!G5</f>
        <v>72</v>
      </c>
      <c r="L5" t="str">
        <f>'New methodology WACM1 (Input)'!Y5</f>
        <v>Conventional Carbon</v>
      </c>
      <c r="O5" s="18" t="str">
        <f>VLOOKUP(C5,'Technology Types'!$B$4:$C$18,2,FALSE)</f>
        <v>Conventional Carbon</v>
      </c>
      <c r="P5">
        <f t="shared" ref="P5:P6" si="0">IF(O5="Intermittent",0,B5)</f>
        <v>80</v>
      </c>
      <c r="Q5">
        <f t="shared" ref="Q5:Q6" si="1">IF(O5="Intermittent",0,E5)</f>
        <v>72</v>
      </c>
    </row>
    <row r="6" spans="1:17" x14ac:dyDescent="0.35">
      <c r="A6" s="3" t="s">
        <v>2</v>
      </c>
      <c r="B6" s="3">
        <f>'New methodology WACM1 (Input)'!B6</f>
        <v>0</v>
      </c>
      <c r="C6" s="3" t="str">
        <f>'New methodology WACM1 (Input)'!C6</f>
        <v>Battery Storage</v>
      </c>
      <c r="D6" s="3">
        <f>'New methodology WACM1 (Input)'!D6</f>
        <v>0</v>
      </c>
      <c r="E6">
        <f>'New methodology WACM1 (Input)'!G6</f>
        <v>0</v>
      </c>
      <c r="L6" t="str">
        <f>'New methodology WACM1 (Input)'!Y6</f>
        <v>Conventional Carbon</v>
      </c>
      <c r="O6" s="18" t="str">
        <f>VLOOKUP(C6,'Technology Types'!$B$4:$C$18,2,FALSE)</f>
        <v>Conventional Carbon</v>
      </c>
      <c r="P6">
        <f t="shared" si="0"/>
        <v>0</v>
      </c>
      <c r="Q6">
        <f t="shared" si="1"/>
        <v>0</v>
      </c>
    </row>
    <row r="7" spans="1:17" x14ac:dyDescent="0.35">
      <c r="O7" s="18"/>
    </row>
    <row r="8" spans="1:17" x14ac:dyDescent="0.35">
      <c r="A8" s="1" t="s">
        <v>18</v>
      </c>
    </row>
    <row r="9" spans="1:17" x14ac:dyDescent="0.35">
      <c r="A9" s="1"/>
      <c r="B9" s="3" t="s">
        <v>9</v>
      </c>
      <c r="C9" s="3" t="s">
        <v>19</v>
      </c>
      <c r="D9" s="3" t="s">
        <v>20</v>
      </c>
      <c r="E9" s="3" t="s">
        <v>10</v>
      </c>
    </row>
    <row r="10" spans="1:17" x14ac:dyDescent="0.35">
      <c r="A10" s="1"/>
      <c r="B10" s="8">
        <f>'New methodology WACM1 (Input)'!B10</f>
        <v>5</v>
      </c>
      <c r="C10" s="8">
        <f>'New methodology WACM1 (Input)'!C10</f>
        <v>15</v>
      </c>
      <c r="D10" s="8">
        <f>'New methodology WACM1 (Input)'!D10</f>
        <v>12</v>
      </c>
      <c r="E10" s="8">
        <f>'New methodology WACM1 (Input)'!E10</f>
        <v>-1</v>
      </c>
      <c r="F10" s="11"/>
    </row>
    <row r="12" spans="1:17" x14ac:dyDescent="0.35">
      <c r="A12" t="s">
        <v>77</v>
      </c>
      <c r="B12" t="s">
        <v>7</v>
      </c>
      <c r="C12" t="s">
        <v>11</v>
      </c>
      <c r="D12" t="s">
        <v>28</v>
      </c>
      <c r="E12" t="s">
        <v>19</v>
      </c>
      <c r="F12" t="s">
        <v>20</v>
      </c>
      <c r="G12" t="s">
        <v>10</v>
      </c>
    </row>
    <row r="13" spans="1:17" x14ac:dyDescent="0.35">
      <c r="A13" t="s">
        <v>0</v>
      </c>
      <c r="B13" s="2">
        <f>IF(SUM(B$4:B$6)&gt;$H$3,((B4/(B$4+B$5+B$6))*$H$3),B4)</f>
        <v>14</v>
      </c>
      <c r="C13" s="23">
        <f>D4/($H$3*365*24)</f>
        <v>0.13362857142857143</v>
      </c>
      <c r="D13" s="22">
        <f>IF(L4="Intermittent",0,($B$10*B13))</f>
        <v>0</v>
      </c>
      <c r="E13">
        <f>$C$10*C13*B13</f>
        <v>28.062000000000001</v>
      </c>
      <c r="F13">
        <f>IF(L4="Conventional Carbon",(C13*$D$10*B13),($D$10*B13))</f>
        <v>168</v>
      </c>
      <c r="G13" s="5">
        <f>$E$10*B13</f>
        <v>-14</v>
      </c>
      <c r="H13" s="5">
        <f>SUM(B13:G13)</f>
        <v>196.19562857142859</v>
      </c>
      <c r="I13" s="5"/>
      <c r="K13" s="4"/>
      <c r="L13" s="2"/>
      <c r="M13" s="5"/>
      <c r="O13" s="6"/>
    </row>
    <row r="14" spans="1:17" x14ac:dyDescent="0.35">
      <c r="A14" t="s">
        <v>1</v>
      </c>
      <c r="B14" s="2">
        <f t="shared" ref="B14:B15" si="2">IF(SUM(B$4:B$6)&gt;$H$3,((B5/(B$4+B$5+B$6))*$H$3),B5)</f>
        <v>56</v>
      </c>
      <c r="C14" s="23">
        <f t="shared" ref="C14:C15" si="3">D5/($H$3*365*24)</f>
        <v>1.8628571428571428E-2</v>
      </c>
      <c r="D14" s="22">
        <f t="shared" ref="D14:D15" si="4">IF(L5="Intermittent",0,($B$10*B14))</f>
        <v>280</v>
      </c>
      <c r="E14">
        <f t="shared" ref="E14:E15" si="5">$C$10*C14*B14</f>
        <v>15.648</v>
      </c>
      <c r="F14">
        <f t="shared" ref="F14:F15" si="6">IF(L5="Conventional Carbon",(C14*$D$10*B14),($D$10*B14))</f>
        <v>12.5184</v>
      </c>
      <c r="G14" s="5">
        <f t="shared" ref="G14:G15" si="7">$E$10*B14</f>
        <v>-56</v>
      </c>
      <c r="H14" s="5">
        <f t="shared" ref="H14:H15" si="8">SUM(B14:G14)</f>
        <v>308.18502857142857</v>
      </c>
      <c r="I14" s="5"/>
      <c r="K14" s="4"/>
      <c r="L14" s="2"/>
      <c r="M14" s="5"/>
      <c r="O14" s="6"/>
    </row>
    <row r="15" spans="1:17" x14ac:dyDescent="0.35">
      <c r="A15" t="s">
        <v>2</v>
      </c>
      <c r="B15" s="2">
        <f t="shared" si="2"/>
        <v>0</v>
      </c>
      <c r="C15" s="23">
        <f t="shared" si="3"/>
        <v>0</v>
      </c>
      <c r="D15" s="22">
        <f t="shared" si="4"/>
        <v>0</v>
      </c>
      <c r="E15">
        <f t="shared" si="5"/>
        <v>0</v>
      </c>
      <c r="F15">
        <f t="shared" si="6"/>
        <v>0</v>
      </c>
      <c r="G15" s="5">
        <f t="shared" si="7"/>
        <v>0</v>
      </c>
      <c r="H15" s="5">
        <f t="shared" si="8"/>
        <v>0</v>
      </c>
      <c r="I15" s="5"/>
      <c r="K15" s="4"/>
      <c r="L15" s="2"/>
      <c r="M15" s="5"/>
      <c r="O15" s="6"/>
    </row>
    <row r="16" spans="1:17" x14ac:dyDescent="0.35">
      <c r="B16" s="2"/>
      <c r="C16" s="23"/>
      <c r="D16" s="22"/>
      <c r="G16" s="5"/>
      <c r="H16" s="5"/>
      <c r="I16" s="5"/>
      <c r="K16" s="4"/>
      <c r="L16" s="2"/>
      <c r="M16" s="5"/>
      <c r="O16" s="6"/>
    </row>
    <row r="18" spans="1:15" x14ac:dyDescent="0.35">
      <c r="A18" t="s">
        <v>78</v>
      </c>
      <c r="B18" t="s">
        <v>7</v>
      </c>
      <c r="C18" t="s">
        <v>11</v>
      </c>
      <c r="D18" t="s">
        <v>28</v>
      </c>
      <c r="E18" t="s">
        <v>19</v>
      </c>
      <c r="F18" t="s">
        <v>20</v>
      </c>
      <c r="G18" t="s">
        <v>10</v>
      </c>
      <c r="O18" s="6"/>
    </row>
    <row r="19" spans="1:15" x14ac:dyDescent="0.35">
      <c r="A19" t="s">
        <v>0</v>
      </c>
      <c r="B19" s="2">
        <f>IF(SUM(E$4:E$6)&gt;$H$4,((E4/(E$4+E$5+E$6))*$H$4),E4)</f>
        <v>12.600000000000001</v>
      </c>
      <c r="C19" s="23">
        <f>D4/($H$3*365*24)</f>
        <v>0.13362857142857143</v>
      </c>
      <c r="D19" s="22">
        <f>IF(L4="Intermittent",0,($B$10*B19))</f>
        <v>0</v>
      </c>
      <c r="E19">
        <f>$C$10*C19*B19</f>
        <v>25.255800000000004</v>
      </c>
      <c r="F19">
        <f>IF(L4="Conventional Carbon",(C19*$D$10*B19),($D$10*B19))</f>
        <v>151.20000000000002</v>
      </c>
      <c r="G19" s="5">
        <f>$E$10*B19</f>
        <v>-12.600000000000001</v>
      </c>
      <c r="H19" s="22">
        <f t="shared" ref="H19:H20" si="9">SUM(D19:G19)</f>
        <v>163.85580000000002</v>
      </c>
    </row>
    <row r="20" spans="1:15" x14ac:dyDescent="0.35">
      <c r="A20" t="s">
        <v>1</v>
      </c>
      <c r="B20" s="2">
        <f>IF(SUM(E$4:E$6)&gt;$H$4,((E5/(E$4+E$5+E$6))*$H$4),E5)</f>
        <v>50.400000000000006</v>
      </c>
      <c r="C20" s="23">
        <f>D5/($H$3*365*24)</f>
        <v>1.8628571428571428E-2</v>
      </c>
      <c r="D20" s="22">
        <f>IF(L5="Intermittent",0,($B$10*B20))</f>
        <v>252.00000000000003</v>
      </c>
      <c r="E20">
        <f t="shared" ref="E20:E21" si="10">$C$10*C20*B20</f>
        <v>14.083200000000001</v>
      </c>
      <c r="F20">
        <f>IF(L5="Conventional Carbon",(C20*$D$10*B20),($D$10*B20))</f>
        <v>11.266560000000002</v>
      </c>
      <c r="G20" s="5">
        <f t="shared" ref="G20:G21" si="11">$E$10*B20</f>
        <v>-50.400000000000006</v>
      </c>
      <c r="H20" s="22">
        <f t="shared" si="9"/>
        <v>226.94976000000005</v>
      </c>
      <c r="K20" s="19"/>
    </row>
    <row r="21" spans="1:15" x14ac:dyDescent="0.35">
      <c r="A21" t="s">
        <v>2</v>
      </c>
      <c r="B21" s="2">
        <f>IF(SUM(E$4:E$6)&gt;$H$4,((E6/(E$4+E$5+E$6))*$H$4),E6)</f>
        <v>0</v>
      </c>
      <c r="C21" s="23">
        <f>D6/($H$3*365*24)</f>
        <v>0</v>
      </c>
      <c r="D21" s="22">
        <f>IF(L6="Intermittent",0,($B$10*B21))</f>
        <v>0</v>
      </c>
      <c r="E21">
        <f t="shared" si="10"/>
        <v>0</v>
      </c>
      <c r="F21">
        <f>IF(L6="Conventional Carbon",(C21*$D$10*B21),($D$10*B21))</f>
        <v>0</v>
      </c>
      <c r="G21" s="5">
        <f t="shared" si="11"/>
        <v>0</v>
      </c>
      <c r="H21" s="22">
        <f>SUM(D21:G21)</f>
        <v>0</v>
      </c>
      <c r="K21" s="19"/>
    </row>
    <row r="22" spans="1:15" x14ac:dyDescent="0.35">
      <c r="D22" s="19"/>
      <c r="H22" s="22">
        <f>SUM(H19:H21)</f>
        <v>390.80556000000007</v>
      </c>
      <c r="K22" s="19"/>
    </row>
    <row r="24" spans="1:15" x14ac:dyDescent="0.35">
      <c r="A24" t="s">
        <v>89</v>
      </c>
      <c r="D24" t="s">
        <v>28</v>
      </c>
      <c r="E24" t="s">
        <v>19</v>
      </c>
      <c r="F24" t="s">
        <v>20</v>
      </c>
      <c r="G24" t="s">
        <v>10</v>
      </c>
    </row>
    <row r="25" spans="1:15" x14ac:dyDescent="0.35">
      <c r="A25" t="s">
        <v>0</v>
      </c>
      <c r="B25">
        <f>IF($H13&gt;0,D13,D19)</f>
        <v>0</v>
      </c>
      <c r="D25">
        <f>IF($H13&gt;0,D13,D19)</f>
        <v>0</v>
      </c>
      <c r="E25">
        <f t="shared" ref="E25:G25" si="12">IF($H13&gt;0,E13,E19)</f>
        <v>28.062000000000001</v>
      </c>
      <c r="F25">
        <f t="shared" si="12"/>
        <v>168</v>
      </c>
      <c r="G25">
        <f t="shared" si="12"/>
        <v>-14</v>
      </c>
    </row>
    <row r="26" spans="1:15" x14ac:dyDescent="0.35">
      <c r="A26" t="s">
        <v>1</v>
      </c>
      <c r="B26">
        <f t="shared" ref="B26:B27" si="13">IF($H14&gt;0,D14,D20)</f>
        <v>280</v>
      </c>
      <c r="D26">
        <f t="shared" ref="D26:G27" si="14">IF($H14&gt;0,D14,D20)</f>
        <v>280</v>
      </c>
      <c r="E26">
        <f t="shared" si="14"/>
        <v>15.648</v>
      </c>
      <c r="F26">
        <f t="shared" si="14"/>
        <v>12.5184</v>
      </c>
      <c r="G26">
        <f t="shared" si="14"/>
        <v>-56</v>
      </c>
    </row>
    <row r="27" spans="1:15" x14ac:dyDescent="0.35">
      <c r="A27" t="s">
        <v>2</v>
      </c>
      <c r="B27">
        <f t="shared" si="13"/>
        <v>0</v>
      </c>
      <c r="D27">
        <f t="shared" si="14"/>
        <v>0</v>
      </c>
      <c r="E27">
        <f t="shared" si="14"/>
        <v>0</v>
      </c>
      <c r="F27">
        <f t="shared" si="14"/>
        <v>0</v>
      </c>
      <c r="G27">
        <f t="shared" si="14"/>
        <v>0</v>
      </c>
    </row>
    <row r="28" spans="1:15" x14ac:dyDescent="0.35">
      <c r="D28">
        <f>SUM(D25:D27)</f>
        <v>280</v>
      </c>
      <c r="E28">
        <f t="shared" ref="E28:G28" si="15">SUM(E25:E27)</f>
        <v>43.71</v>
      </c>
      <c r="F28">
        <f t="shared" si="15"/>
        <v>180.51839999999999</v>
      </c>
      <c r="G28">
        <f t="shared" si="15"/>
        <v>-70</v>
      </c>
      <c r="H28">
        <f>SUM(D28:G28)</f>
        <v>434.22839999999997</v>
      </c>
    </row>
    <row r="32" spans="1:15" x14ac:dyDescent="0.35">
      <c r="A32" s="1"/>
    </row>
  </sheetData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0B9B9-C607-4AE7-93EE-563E4BFC780B}">
  <dimension ref="A1:Q32"/>
  <sheetViews>
    <sheetView workbookViewId="0">
      <selection activeCell="H9" sqref="H9"/>
    </sheetView>
  </sheetViews>
  <sheetFormatPr defaultRowHeight="14.5" x14ac:dyDescent="0.35"/>
  <cols>
    <col min="2" max="2" width="20.90625" customWidth="1"/>
    <col min="3" max="3" width="12.453125" customWidth="1"/>
    <col min="4" max="4" width="21.90625" customWidth="1"/>
    <col min="5" max="5" width="18.1796875" customWidth="1"/>
    <col min="7" max="7" width="14.453125" bestFit="1" customWidth="1"/>
    <col min="8" max="8" width="10.08984375" bestFit="1" customWidth="1"/>
    <col min="9" max="9" width="14.1796875" bestFit="1" customWidth="1"/>
    <col min="10" max="10" width="14.1796875" customWidth="1"/>
    <col min="12" max="13" width="14.81640625" bestFit="1" customWidth="1"/>
    <col min="14" max="14" width="10.1796875" bestFit="1" customWidth="1"/>
    <col min="15" max="15" width="10.54296875" customWidth="1"/>
  </cols>
  <sheetData>
    <row r="1" spans="1:17" x14ac:dyDescent="0.35">
      <c r="A1" s="1" t="s">
        <v>12</v>
      </c>
    </row>
    <row r="3" spans="1:17" ht="39" customHeight="1" x14ac:dyDescent="0.35">
      <c r="A3" s="3"/>
      <c r="B3" s="3" t="s">
        <v>3</v>
      </c>
      <c r="C3" s="3" t="s">
        <v>4</v>
      </c>
      <c r="D3" s="3" t="s">
        <v>5</v>
      </c>
      <c r="E3" s="17" t="s">
        <v>50</v>
      </c>
      <c r="G3" t="s">
        <v>8</v>
      </c>
      <c r="H3">
        <f>'New methodology WACM1 (Input)'!J3</f>
        <v>70</v>
      </c>
      <c r="L3" t="str">
        <f>'New methodology WACM1 (Input)'!Y3</f>
        <v>Technology type</v>
      </c>
      <c r="O3" s="18" t="s">
        <v>72</v>
      </c>
      <c r="P3" t="s">
        <v>73</v>
      </c>
      <c r="Q3" t="s">
        <v>74</v>
      </c>
    </row>
    <row r="4" spans="1:17" x14ac:dyDescent="0.35">
      <c r="A4" s="3" t="s">
        <v>0</v>
      </c>
      <c r="B4" s="3">
        <f>'New methodology WACM1 (Input)'!B4</f>
        <v>20</v>
      </c>
      <c r="C4" s="3" t="str">
        <f>'New methodology WACM1 (Input)'!C4</f>
        <v>Onshore Wind</v>
      </c>
      <c r="D4" s="3">
        <f>'New methodology WACM1 (Input)'!D4</f>
        <v>81941.039999999994</v>
      </c>
      <c r="E4">
        <f>'New methodology WACM1 (Input)'!G4</f>
        <v>18</v>
      </c>
      <c r="G4" t="s">
        <v>51</v>
      </c>
      <c r="H4">
        <f>'New methodology WACM1 (Input)'!J4</f>
        <v>63</v>
      </c>
      <c r="L4" t="str">
        <f>'New methodology WACM1 (Input)'!Y4</f>
        <v>Intermittent</v>
      </c>
      <c r="O4" s="18" t="str">
        <f>VLOOKUP(C4,'Technology Types'!$B$4:$C$18,2,FALSE)</f>
        <v>Intermittent</v>
      </c>
      <c r="P4">
        <f>IF(O4="Intermittent",0,B4)</f>
        <v>0</v>
      </c>
      <c r="Q4">
        <f>IF(O4="Intermittent",0,E4)</f>
        <v>0</v>
      </c>
    </row>
    <row r="5" spans="1:17" x14ac:dyDescent="0.35">
      <c r="A5" s="3" t="s">
        <v>1</v>
      </c>
      <c r="B5" s="3">
        <f>'New methodology WACM1 (Input)'!B5</f>
        <v>80</v>
      </c>
      <c r="C5" s="3" t="str">
        <f>'New methodology WACM1 (Input)'!C5</f>
        <v>Battery Storage</v>
      </c>
      <c r="D5" s="3">
        <f>'New methodology WACM1 (Input)'!D5</f>
        <v>11423.039999999999</v>
      </c>
      <c r="E5">
        <f>'New methodology WACM1 (Input)'!G5</f>
        <v>72</v>
      </c>
      <c r="L5" t="str">
        <f>'New methodology WACM1 (Input)'!Y5</f>
        <v>Conventional Carbon</v>
      </c>
      <c r="O5" s="18" t="str">
        <f>VLOOKUP(C5,'Technology Types'!$B$4:$C$18,2,FALSE)</f>
        <v>Conventional Carbon</v>
      </c>
      <c r="P5">
        <f t="shared" ref="P5:P6" si="0">IF(O5="Intermittent",0,B5)</f>
        <v>80</v>
      </c>
      <c r="Q5">
        <f t="shared" ref="Q5:Q6" si="1">IF(O5="Intermittent",0,E5)</f>
        <v>72</v>
      </c>
    </row>
    <row r="6" spans="1:17" x14ac:dyDescent="0.35">
      <c r="A6" s="3" t="s">
        <v>2</v>
      </c>
      <c r="B6" s="3">
        <f>'New methodology WACM1 (Input)'!B6</f>
        <v>0</v>
      </c>
      <c r="C6" s="3" t="str">
        <f>'New methodology WACM1 (Input)'!C6</f>
        <v>Battery Storage</v>
      </c>
      <c r="D6" s="3">
        <f>'New methodology WACM1 (Input)'!D6</f>
        <v>0</v>
      </c>
      <c r="E6">
        <f>'New methodology WACM1 (Input)'!G6</f>
        <v>0</v>
      </c>
      <c r="L6" t="str">
        <f>'New methodology WACM1 (Input)'!Y6</f>
        <v>Conventional Carbon</v>
      </c>
      <c r="O6" s="18" t="str">
        <f>VLOOKUP(C6,'Technology Types'!$B$4:$C$18,2,FALSE)</f>
        <v>Conventional Carbon</v>
      </c>
      <c r="P6">
        <f t="shared" si="0"/>
        <v>0</v>
      </c>
      <c r="Q6">
        <f t="shared" si="1"/>
        <v>0</v>
      </c>
    </row>
    <row r="7" spans="1:17" x14ac:dyDescent="0.35">
      <c r="O7" s="18"/>
    </row>
    <row r="8" spans="1:17" x14ac:dyDescent="0.35">
      <c r="A8" s="1" t="s">
        <v>18</v>
      </c>
    </row>
    <row r="9" spans="1:17" x14ac:dyDescent="0.35">
      <c r="A9" s="1"/>
      <c r="B9" s="3" t="s">
        <v>9</v>
      </c>
      <c r="C9" s="3" t="s">
        <v>19</v>
      </c>
      <c r="D9" s="3" t="s">
        <v>20</v>
      </c>
      <c r="E9" s="3" t="s">
        <v>10</v>
      </c>
    </row>
    <row r="10" spans="1:17" x14ac:dyDescent="0.35">
      <c r="A10" s="1"/>
      <c r="B10" s="8">
        <f>'New methodology WACM1 (Input)'!B10</f>
        <v>5</v>
      </c>
      <c r="C10" s="8">
        <f>'New methodology WACM1 (Input)'!C10</f>
        <v>15</v>
      </c>
      <c r="D10" s="8">
        <f>'New methodology WACM1 (Input)'!D10</f>
        <v>12</v>
      </c>
      <c r="E10" s="8">
        <f>'New methodology WACM1 (Input)'!E10</f>
        <v>-1</v>
      </c>
      <c r="F10" s="11"/>
    </row>
    <row r="12" spans="1:17" x14ac:dyDescent="0.35">
      <c r="A12" t="s">
        <v>77</v>
      </c>
      <c r="B12" t="s">
        <v>7</v>
      </c>
      <c r="C12" t="s">
        <v>11</v>
      </c>
      <c r="D12" t="s">
        <v>28</v>
      </c>
      <c r="E12" t="s">
        <v>19</v>
      </c>
      <c r="F12" t="s">
        <v>20</v>
      </c>
      <c r="G12" t="s">
        <v>10</v>
      </c>
    </row>
    <row r="13" spans="1:17" x14ac:dyDescent="0.35">
      <c r="A13" t="s">
        <v>0</v>
      </c>
      <c r="B13" s="2">
        <f>IF(SUM(B$4:B$6)&gt;$H$3,((B4/(B$4+B$5+B$6))*$H$3),B4)</f>
        <v>14</v>
      </c>
      <c r="C13" s="23">
        <f>D4/(B13*365*24)</f>
        <v>0.66814285714285704</v>
      </c>
      <c r="D13" s="22">
        <f>IF(L4="Intermittent",0,($B$10*B13))</f>
        <v>0</v>
      </c>
      <c r="E13">
        <f>$C$10*C13*B13</f>
        <v>140.30999999999997</v>
      </c>
      <c r="F13">
        <f>IF(L4="Conventional Carbon",(C13*$D$10*B13),($D$10*B13))</f>
        <v>168</v>
      </c>
      <c r="G13" s="5">
        <f>$E$10*B13</f>
        <v>-14</v>
      </c>
      <c r="H13" s="5">
        <f>SUM(B13:G13)</f>
        <v>308.97814285714287</v>
      </c>
      <c r="I13" s="5"/>
      <c r="K13" s="4"/>
      <c r="L13" s="2"/>
      <c r="M13" s="5"/>
      <c r="O13" s="6"/>
    </row>
    <row r="14" spans="1:17" x14ac:dyDescent="0.35">
      <c r="A14" t="s">
        <v>1</v>
      </c>
      <c r="B14" s="2">
        <f t="shared" ref="B14:B15" si="2">IF(SUM(B$4:B$6)&gt;$H$3,((B5/(B$4+B$5+B$6))*$H$3),B5)</f>
        <v>56</v>
      </c>
      <c r="C14" s="23">
        <f t="shared" ref="C14" si="3">D5/(B14*365*24)</f>
        <v>2.3285714285714285E-2</v>
      </c>
      <c r="D14" s="22">
        <f t="shared" ref="D14:D15" si="4">IF(L5="Intermittent",0,($B$10*B14))</f>
        <v>280</v>
      </c>
      <c r="E14">
        <f t="shared" ref="E14:E15" si="5">$C$10*C14*B14</f>
        <v>19.559999999999999</v>
      </c>
      <c r="F14">
        <f t="shared" ref="F14:F15" si="6">IF(L5="Conventional Carbon",(C14*$D$10*B14),($D$10*B14))</f>
        <v>15.648</v>
      </c>
      <c r="G14" s="5">
        <f t="shared" ref="G14:G15" si="7">$E$10*B14</f>
        <v>-56</v>
      </c>
      <c r="H14" s="5">
        <f t="shared" ref="H14:H15" si="8">SUM(B14:G14)</f>
        <v>315.23128571428572</v>
      </c>
      <c r="I14" s="5"/>
      <c r="K14" s="4"/>
      <c r="L14" s="2"/>
      <c r="M14" s="5"/>
      <c r="O14" s="6"/>
    </row>
    <row r="15" spans="1:17" x14ac:dyDescent="0.35">
      <c r="A15" t="s">
        <v>2</v>
      </c>
      <c r="B15" s="2">
        <f t="shared" si="2"/>
        <v>0</v>
      </c>
      <c r="C15" s="23">
        <f>IF(B6=0,0,(D6/(B15*365*24)))</f>
        <v>0</v>
      </c>
      <c r="D15" s="22">
        <f t="shared" si="4"/>
        <v>0</v>
      </c>
      <c r="E15">
        <f t="shared" si="5"/>
        <v>0</v>
      </c>
      <c r="F15">
        <f t="shared" si="6"/>
        <v>0</v>
      </c>
      <c r="G15" s="5">
        <f t="shared" si="7"/>
        <v>0</v>
      </c>
      <c r="H15" s="5">
        <f t="shared" si="8"/>
        <v>0</v>
      </c>
      <c r="I15" s="5"/>
      <c r="K15" s="4"/>
      <c r="L15" s="2"/>
      <c r="M15" s="5"/>
      <c r="O15" s="6"/>
    </row>
    <row r="16" spans="1:17" x14ac:dyDescent="0.35">
      <c r="B16" s="2"/>
      <c r="C16" s="23"/>
      <c r="D16" s="22"/>
      <c r="G16" s="5"/>
      <c r="H16" s="5"/>
      <c r="I16" s="5"/>
      <c r="K16" s="4"/>
      <c r="L16" s="2"/>
      <c r="M16" s="5"/>
      <c r="O16" s="6"/>
    </row>
    <row r="18" spans="1:15" x14ac:dyDescent="0.35">
      <c r="A18" t="s">
        <v>78</v>
      </c>
      <c r="B18" t="s">
        <v>7</v>
      </c>
      <c r="C18" t="s">
        <v>11</v>
      </c>
      <c r="D18" t="s">
        <v>28</v>
      </c>
      <c r="E18" t="s">
        <v>19</v>
      </c>
      <c r="F18" t="s">
        <v>20</v>
      </c>
      <c r="G18" t="s">
        <v>10</v>
      </c>
      <c r="O18" s="6"/>
    </row>
    <row r="19" spans="1:15" x14ac:dyDescent="0.35">
      <c r="A19" t="s">
        <v>0</v>
      </c>
      <c r="B19" s="2">
        <f>IF(SUM(E$4:E$6)&gt;$H$4,((E4/(E$4+E$5+E$6))*$H$4),E4)</f>
        <v>12.600000000000001</v>
      </c>
      <c r="C19" s="23">
        <f>D4/(B19*365*24)</f>
        <v>0.74238095238095214</v>
      </c>
      <c r="D19" s="22">
        <f>IF(L4="Intermittent",0,($B$10*B19))</f>
        <v>0</v>
      </c>
      <c r="E19">
        <f>$C$10*C19*B19</f>
        <v>140.30999999999997</v>
      </c>
      <c r="F19">
        <f>IF(L4="Conventional Carbon",(C19*$D$10*B19),($D$10*B19))</f>
        <v>151.20000000000002</v>
      </c>
      <c r="G19" s="5">
        <f>$E$10*B19</f>
        <v>-12.600000000000001</v>
      </c>
      <c r="H19" s="22">
        <f t="shared" ref="H19:H20" si="9">SUM(D19:G19)</f>
        <v>278.90999999999997</v>
      </c>
    </row>
    <row r="20" spans="1:15" x14ac:dyDescent="0.35">
      <c r="A20" t="s">
        <v>1</v>
      </c>
      <c r="B20" s="2">
        <f>IF(SUM(E$4:E$6)&gt;$H$4,((E5/(E$4+E$5+E$6))*$H$4),E5)</f>
        <v>50.400000000000006</v>
      </c>
      <c r="C20" s="23">
        <f t="shared" ref="C20" si="10">D5/(B20*365*24)</f>
        <v>2.5873015873015864E-2</v>
      </c>
      <c r="D20" s="22">
        <f>IF(L5="Intermittent",0,($B$10*B20))</f>
        <v>252.00000000000003</v>
      </c>
      <c r="E20">
        <f t="shared" ref="E20:E21" si="11">$C$10*C20*B20</f>
        <v>19.559999999999995</v>
      </c>
      <c r="F20">
        <f>IF(L5="Conventional Carbon",(C20*$D$10*B20),($D$10*B20))</f>
        <v>15.647999999999996</v>
      </c>
      <c r="G20" s="5">
        <f t="shared" ref="G20:G21" si="12">$E$10*B20</f>
        <v>-50.400000000000006</v>
      </c>
      <c r="H20" s="22">
        <f t="shared" si="9"/>
        <v>236.80799999999996</v>
      </c>
      <c r="K20" s="19"/>
    </row>
    <row r="21" spans="1:15" x14ac:dyDescent="0.35">
      <c r="A21" t="s">
        <v>2</v>
      </c>
      <c r="B21" s="2">
        <f>IF(SUM(E$4:E$6)&gt;$H$4,((E6/(E$4+E$5+E$6))*$H$4),E6)</f>
        <v>0</v>
      </c>
      <c r="C21" s="23">
        <f>IF(D6=0,0,(D6/(B21*365*24)))</f>
        <v>0</v>
      </c>
      <c r="D21" s="22">
        <f>IF(L6="Intermittent",0,($B$10*B21))</f>
        <v>0</v>
      </c>
      <c r="E21">
        <f t="shared" si="11"/>
        <v>0</v>
      </c>
      <c r="F21">
        <f>IF(L6="Conventional Carbon",(C21*$D$10*B21),($D$10*B21))</f>
        <v>0</v>
      </c>
      <c r="G21" s="5">
        <f t="shared" si="12"/>
        <v>0</v>
      </c>
      <c r="H21" s="22">
        <f>SUM(D21:G21)</f>
        <v>0</v>
      </c>
      <c r="K21" s="19"/>
    </row>
    <row r="22" spans="1:15" x14ac:dyDescent="0.35">
      <c r="D22" s="19"/>
      <c r="H22" s="22">
        <f>SUM(H19:H21)</f>
        <v>515.71799999999996</v>
      </c>
      <c r="K22" s="19"/>
    </row>
    <row r="24" spans="1:15" x14ac:dyDescent="0.35">
      <c r="A24" t="s">
        <v>89</v>
      </c>
      <c r="D24" t="s">
        <v>28</v>
      </c>
      <c r="E24" t="s">
        <v>19</v>
      </c>
      <c r="F24" t="s">
        <v>20</v>
      </c>
      <c r="G24" t="s">
        <v>10</v>
      </c>
    </row>
    <row r="25" spans="1:15" x14ac:dyDescent="0.35">
      <c r="A25" t="s">
        <v>0</v>
      </c>
      <c r="B25">
        <f>IF($H13&gt;0,D13,D19)</f>
        <v>0</v>
      </c>
      <c r="D25">
        <f>IF($H13&gt;0,D13,D19)</f>
        <v>0</v>
      </c>
      <c r="E25">
        <f t="shared" ref="E25:G25" si="13">IF($H13&gt;0,E13,E19)</f>
        <v>140.30999999999997</v>
      </c>
      <c r="F25">
        <f t="shared" si="13"/>
        <v>168</v>
      </c>
      <c r="G25">
        <f t="shared" si="13"/>
        <v>-14</v>
      </c>
    </row>
    <row r="26" spans="1:15" x14ac:dyDescent="0.35">
      <c r="A26" t="s">
        <v>1</v>
      </c>
      <c r="B26">
        <f t="shared" ref="B26:B27" si="14">IF($H14&gt;0,D14,D20)</f>
        <v>280</v>
      </c>
      <c r="D26">
        <f t="shared" ref="D26:G27" si="15">IF($H14&gt;0,D14,D20)</f>
        <v>280</v>
      </c>
      <c r="E26">
        <f t="shared" si="15"/>
        <v>19.559999999999999</v>
      </c>
      <c r="F26">
        <f t="shared" si="15"/>
        <v>15.648</v>
      </c>
      <c r="G26">
        <f t="shared" si="15"/>
        <v>-56</v>
      </c>
    </row>
    <row r="27" spans="1:15" x14ac:dyDescent="0.35">
      <c r="A27" t="s">
        <v>2</v>
      </c>
      <c r="B27">
        <f t="shared" si="14"/>
        <v>0</v>
      </c>
      <c r="D27">
        <f t="shared" si="15"/>
        <v>0</v>
      </c>
      <c r="E27">
        <f t="shared" si="15"/>
        <v>0</v>
      </c>
      <c r="F27">
        <f t="shared" si="15"/>
        <v>0</v>
      </c>
      <c r="G27">
        <f t="shared" si="15"/>
        <v>0</v>
      </c>
    </row>
    <row r="28" spans="1:15" x14ac:dyDescent="0.35">
      <c r="D28">
        <f>SUM(D25:D27)</f>
        <v>280</v>
      </c>
      <c r="E28">
        <f t="shared" ref="E28:G28" si="16">SUM(E25:E27)</f>
        <v>159.86999999999998</v>
      </c>
      <c r="F28">
        <f t="shared" si="16"/>
        <v>183.648</v>
      </c>
      <c r="G28">
        <f t="shared" si="16"/>
        <v>-70</v>
      </c>
      <c r="H28">
        <f>SUM(D28:G28)</f>
        <v>553.51800000000003</v>
      </c>
    </row>
    <row r="32" spans="1:15" x14ac:dyDescent="0.35">
      <c r="A32" s="1"/>
    </row>
  </sheetData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90E6F-0E8E-42A6-AFC0-E1592FE1EFE6}">
  <dimension ref="A1:Q33"/>
  <sheetViews>
    <sheetView workbookViewId="0">
      <selection activeCell="D23" sqref="D23"/>
    </sheetView>
  </sheetViews>
  <sheetFormatPr defaultRowHeight="14.5" x14ac:dyDescent="0.35"/>
  <cols>
    <col min="2" max="2" width="20.90625" customWidth="1"/>
    <col min="3" max="3" width="12.453125" customWidth="1"/>
    <col min="4" max="4" width="21.90625" customWidth="1"/>
    <col min="5" max="5" width="18.1796875" customWidth="1"/>
    <col min="7" max="7" width="14.453125" bestFit="1" customWidth="1"/>
    <col min="8" max="8" width="10.08984375" bestFit="1" customWidth="1"/>
    <col min="9" max="9" width="14.1796875" bestFit="1" customWidth="1"/>
    <col min="10" max="10" width="14.1796875" customWidth="1"/>
    <col min="12" max="13" width="14.81640625" bestFit="1" customWidth="1"/>
    <col min="14" max="14" width="10.1796875" bestFit="1" customWidth="1"/>
    <col min="15" max="15" width="10.54296875" customWidth="1"/>
  </cols>
  <sheetData>
    <row r="1" spans="1:17" x14ac:dyDescent="0.35">
      <c r="A1" s="1" t="s">
        <v>12</v>
      </c>
    </row>
    <row r="3" spans="1:17" ht="39" customHeight="1" x14ac:dyDescent="0.35">
      <c r="A3" s="3"/>
      <c r="B3" s="3" t="s">
        <v>3</v>
      </c>
      <c r="C3" s="3" t="s">
        <v>4</v>
      </c>
      <c r="D3" s="3" t="s">
        <v>5</v>
      </c>
      <c r="E3" s="17" t="s">
        <v>50</v>
      </c>
      <c r="G3" t="s">
        <v>8</v>
      </c>
      <c r="H3">
        <f>'New methodology WACM1 (Input)'!J3</f>
        <v>70</v>
      </c>
      <c r="L3" t="str">
        <f>'New methodology WACM1 (Input)'!Y3</f>
        <v>Technology type</v>
      </c>
      <c r="O3" s="18" t="s">
        <v>72</v>
      </c>
      <c r="P3" t="s">
        <v>73</v>
      </c>
      <c r="Q3" t="s">
        <v>74</v>
      </c>
    </row>
    <row r="4" spans="1:17" x14ac:dyDescent="0.35">
      <c r="A4" s="3" t="s">
        <v>0</v>
      </c>
      <c r="B4" s="3">
        <f>'New methodology WACM1 (Input)'!B4</f>
        <v>20</v>
      </c>
      <c r="C4" s="3" t="str">
        <f>'New methodology WACM1 (Input)'!C4</f>
        <v>Onshore Wind</v>
      </c>
      <c r="D4" s="3">
        <f>'New methodology WACM1 (Input)'!D4</f>
        <v>81941.039999999994</v>
      </c>
      <c r="E4">
        <f>'New methodology WACM1 (Input)'!G4</f>
        <v>18</v>
      </c>
      <c r="G4" t="s">
        <v>51</v>
      </c>
      <c r="H4">
        <f>'New methodology WACM1 (Input)'!J4</f>
        <v>63</v>
      </c>
      <c r="L4" t="str">
        <f>'New methodology WACM1 (Input)'!Y4</f>
        <v>Intermittent</v>
      </c>
      <c r="O4" s="18" t="str">
        <f>VLOOKUP(C4,'Technology Types'!$B$4:$C$18,2,FALSE)</f>
        <v>Intermittent</v>
      </c>
      <c r="P4">
        <f>IF(O4="Intermittent",0,B4)</f>
        <v>0</v>
      </c>
      <c r="Q4">
        <f>IF(O4="Intermittent",0,E4)</f>
        <v>0</v>
      </c>
    </row>
    <row r="5" spans="1:17" x14ac:dyDescent="0.35">
      <c r="A5" s="3" t="s">
        <v>1</v>
      </c>
      <c r="B5" s="3">
        <f>'New methodology WACM1 (Input)'!B5</f>
        <v>80</v>
      </c>
      <c r="C5" s="3" t="str">
        <f>'New methodology WACM1 (Input)'!C5</f>
        <v>Battery Storage</v>
      </c>
      <c r="D5" s="3">
        <f>'New methodology WACM1 (Input)'!D5</f>
        <v>11423.039999999999</v>
      </c>
      <c r="E5">
        <f>'New methodology WACM1 (Input)'!G5</f>
        <v>72</v>
      </c>
      <c r="L5" t="str">
        <f>'New methodology WACM1 (Input)'!Y5</f>
        <v>Conventional Carbon</v>
      </c>
      <c r="O5" s="18" t="str">
        <f>VLOOKUP(C5,'Technology Types'!$B$4:$C$18,2,FALSE)</f>
        <v>Conventional Carbon</v>
      </c>
      <c r="P5">
        <f t="shared" ref="P5:P6" si="0">IF(O5="Intermittent",0,B5)</f>
        <v>80</v>
      </c>
      <c r="Q5">
        <f t="shared" ref="Q5:Q6" si="1">IF(O5="Intermittent",0,E5)</f>
        <v>72</v>
      </c>
    </row>
    <row r="6" spans="1:17" x14ac:dyDescent="0.35">
      <c r="A6" s="3" t="s">
        <v>2</v>
      </c>
      <c r="B6" s="3">
        <f>'New methodology WACM1 (Input)'!B6</f>
        <v>0</v>
      </c>
      <c r="C6" s="3" t="str">
        <f>'New methodology WACM1 (Input)'!C6</f>
        <v>Battery Storage</v>
      </c>
      <c r="D6" s="3">
        <f>'New methodology WACM1 (Input)'!D6</f>
        <v>0</v>
      </c>
      <c r="E6">
        <f>'New methodology WACM1 (Input)'!G6</f>
        <v>0</v>
      </c>
      <c r="G6" t="s">
        <v>34</v>
      </c>
      <c r="H6">
        <f>(D4+D5+D6)/(H3*365*24)</f>
        <v>0.15225714285714284</v>
      </c>
      <c r="L6" t="str">
        <f>'New methodology WACM1 (Input)'!Y6</f>
        <v>Conventional Carbon</v>
      </c>
      <c r="O6" s="18" t="str">
        <f>VLOOKUP(C6,'Technology Types'!$B$4:$C$18,2,FALSE)</f>
        <v>Conventional Carbon</v>
      </c>
      <c r="P6">
        <f t="shared" si="0"/>
        <v>0</v>
      </c>
      <c r="Q6">
        <f t="shared" si="1"/>
        <v>0</v>
      </c>
    </row>
    <row r="7" spans="1:17" x14ac:dyDescent="0.35">
      <c r="O7" s="18"/>
    </row>
    <row r="8" spans="1:17" x14ac:dyDescent="0.35">
      <c r="A8" s="1" t="s">
        <v>18</v>
      </c>
    </row>
    <row r="9" spans="1:17" x14ac:dyDescent="0.35">
      <c r="A9" s="1"/>
      <c r="B9" s="3" t="s">
        <v>9</v>
      </c>
      <c r="C9" s="3" t="s">
        <v>19</v>
      </c>
      <c r="D9" s="3" t="s">
        <v>20</v>
      </c>
      <c r="E9" s="3" t="s">
        <v>10</v>
      </c>
    </row>
    <row r="10" spans="1:17" x14ac:dyDescent="0.35">
      <c r="A10" s="1"/>
      <c r="B10" s="8">
        <f>'New methodology WACM1 (Input)'!B10</f>
        <v>5</v>
      </c>
      <c r="C10" s="8">
        <f>'New methodology WACM1 (Input)'!C10</f>
        <v>15</v>
      </c>
      <c r="D10" s="8">
        <f>'New methodology WACM1 (Input)'!D10</f>
        <v>12</v>
      </c>
      <c r="E10" s="8">
        <f>'New methodology WACM1 (Input)'!E10</f>
        <v>-1</v>
      </c>
      <c r="F10" s="11"/>
    </row>
    <row r="13" spans="1:17" x14ac:dyDescent="0.35">
      <c r="A13" t="s">
        <v>90</v>
      </c>
      <c r="B13" s="2"/>
      <c r="C13" s="23"/>
      <c r="D13" s="22"/>
      <c r="G13" s="5"/>
      <c r="H13" s="5"/>
      <c r="I13" s="5"/>
      <c r="K13" s="4"/>
      <c r="L13" s="2"/>
      <c r="M13" s="5"/>
      <c r="O13" s="6"/>
    </row>
    <row r="14" spans="1:17" x14ac:dyDescent="0.35">
      <c r="A14">
        <f>MAX(B4:B6)</f>
        <v>80</v>
      </c>
      <c r="B14" s="2" t="str">
        <f>VLOOKUP(A14,B4:C6,2,FALSE)</f>
        <v>Battery Storage</v>
      </c>
      <c r="C14" s="23" t="str">
        <f>VLOOKUP(B14,'Technology Types'!$B$4:$C$18,2,FALSE)</f>
        <v>Conventional Carbon</v>
      </c>
      <c r="D14" s="22"/>
      <c r="G14" s="5"/>
      <c r="H14" s="5"/>
      <c r="I14" s="5"/>
      <c r="K14" s="4"/>
      <c r="L14" s="2"/>
      <c r="M14" s="5"/>
      <c r="O14" s="6"/>
    </row>
    <row r="15" spans="1:17" x14ac:dyDescent="0.35">
      <c r="B15" s="2"/>
      <c r="C15" s="23"/>
      <c r="D15" s="22"/>
      <c r="G15" s="5"/>
      <c r="H15" s="5"/>
      <c r="I15" s="5"/>
      <c r="K15" s="4"/>
      <c r="L15" s="2"/>
      <c r="M15" s="5"/>
      <c r="O15" s="6"/>
    </row>
    <row r="16" spans="1:17" x14ac:dyDescent="0.35">
      <c r="B16" s="2"/>
      <c r="C16" s="23" t="s">
        <v>92</v>
      </c>
      <c r="D16" s="22" t="s">
        <v>28</v>
      </c>
      <c r="E16" t="s">
        <v>19</v>
      </c>
      <c r="F16" t="s">
        <v>20</v>
      </c>
      <c r="G16" s="5" t="s">
        <v>10</v>
      </c>
      <c r="H16" s="5"/>
      <c r="I16" s="5"/>
      <c r="K16" s="4"/>
      <c r="L16" s="2"/>
      <c r="M16" s="5"/>
      <c r="O16" s="6"/>
    </row>
    <row r="17" spans="2:15" x14ac:dyDescent="0.35">
      <c r="B17" t="s">
        <v>55</v>
      </c>
      <c r="C17" s="22">
        <f>((C10*H6)+D10+E10)*H3</f>
        <v>929.87</v>
      </c>
      <c r="D17">
        <v>0</v>
      </c>
      <c r="E17">
        <f>IF(C17&gt;0,(C10*H6*H3),(C10*H6*H4))</f>
        <v>159.87</v>
      </c>
      <c r="F17">
        <f>IF(C17&gt;0,(D10*H3),(D10*H4))</f>
        <v>840</v>
      </c>
      <c r="G17">
        <f>IF(C17&gt;0,(E10*H3),(E10*H4))</f>
        <v>-70</v>
      </c>
      <c r="I17" s="22"/>
    </row>
    <row r="18" spans="2:15" x14ac:dyDescent="0.35">
      <c r="B18" s="2" t="s">
        <v>61</v>
      </c>
      <c r="C18" s="22">
        <f>(B10+(C10*H6)+(D10*H6)+E10)*H3</f>
        <v>567.76599999999996</v>
      </c>
      <c r="D18">
        <f>IF(C18&gt;0,(B10*H3),(B10*H4))</f>
        <v>350</v>
      </c>
      <c r="E18">
        <f>IF(C17&gt;0,(C10*H6*H3),(C10*H6*H4))</f>
        <v>159.87</v>
      </c>
      <c r="F18">
        <f>IF(C17&gt;0,(D10*H3*H6),(D10*H4*H6))</f>
        <v>127.89599999999999</v>
      </c>
      <c r="G18">
        <f>IF(C18&gt;0,(E10*H3),(E10*H4))</f>
        <v>-70</v>
      </c>
      <c r="O18" s="6"/>
    </row>
    <row r="19" spans="2:15" x14ac:dyDescent="0.35">
      <c r="B19" t="s">
        <v>58</v>
      </c>
      <c r="C19" s="21">
        <f>(B10+(C10*H6)+D10+E10)*H3</f>
        <v>1279.8700000000001</v>
      </c>
      <c r="D19" s="22">
        <f>IF(C19&gt;0,(B10*H3),(B10*H4))</f>
        <v>350</v>
      </c>
      <c r="E19">
        <f>IF(C17&gt;0,(C10*H6*H3),(C10*H6*H4))</f>
        <v>159.87</v>
      </c>
      <c r="F19">
        <f>IF(C19&gt;0,(D10*H3),(D10*H4))</f>
        <v>840</v>
      </c>
      <c r="G19" s="5">
        <f>IF(C19&gt;0,(E10*H3),(E10*H4))</f>
        <v>-70</v>
      </c>
    </row>
    <row r="20" spans="2:15" x14ac:dyDescent="0.35">
      <c r="C20" s="21"/>
      <c r="D20" s="22"/>
      <c r="G20" s="5"/>
    </row>
    <row r="21" spans="2:15" x14ac:dyDescent="0.35">
      <c r="C21" s="23"/>
      <c r="D21" s="22"/>
      <c r="G21" s="5"/>
      <c r="K21" s="19"/>
    </row>
    <row r="22" spans="2:15" x14ac:dyDescent="0.35">
      <c r="B22" s="2"/>
      <c r="C22" s="20" t="s">
        <v>91</v>
      </c>
      <c r="D22" s="22" t="s">
        <v>28</v>
      </c>
      <c r="E22" t="s">
        <v>19</v>
      </c>
      <c r="F22" t="s">
        <v>20</v>
      </c>
      <c r="G22" s="5" t="s">
        <v>10</v>
      </c>
      <c r="H22" s="22"/>
      <c r="K22" s="19"/>
    </row>
    <row r="23" spans="2:15" x14ac:dyDescent="0.35">
      <c r="C23" s="9">
        <f>SUM(D23:G23)</f>
        <v>567.76599999999996</v>
      </c>
      <c r="D23" s="9">
        <f>VLOOKUP(C14,B17:G19,3,FALSE)</f>
        <v>350</v>
      </c>
      <c r="E23" s="9">
        <f>VLOOKUP(C14,B17:G19,4,FALSE)</f>
        <v>159.87</v>
      </c>
      <c r="F23" s="9">
        <f>VLOOKUP(C14,B17:G19,5,FALSE)</f>
        <v>127.89599999999999</v>
      </c>
      <c r="G23" s="9">
        <f>VLOOKUP(C14,B17:G19,6,FALSE)</f>
        <v>-70</v>
      </c>
      <c r="K23" s="19"/>
    </row>
    <row r="33" spans="1:1" x14ac:dyDescent="0.35">
      <c r="A33" s="1"/>
    </row>
  </sheetData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152F7-5AEB-418E-AD24-5406D4D24878}">
  <dimension ref="B4:C18"/>
  <sheetViews>
    <sheetView workbookViewId="0">
      <selection activeCell="C6" sqref="C6"/>
    </sheetView>
  </sheetViews>
  <sheetFormatPr defaultRowHeight="14.5" x14ac:dyDescent="0.35"/>
  <cols>
    <col min="2" max="2" width="11.6328125" customWidth="1"/>
  </cols>
  <sheetData>
    <row r="4" spans="2:3" x14ac:dyDescent="0.35">
      <c r="B4" t="s">
        <v>67</v>
      </c>
      <c r="C4" t="s">
        <v>61</v>
      </c>
    </row>
    <row r="5" spans="2:3" x14ac:dyDescent="0.35">
      <c r="B5" t="s">
        <v>62</v>
      </c>
      <c r="C5" t="s">
        <v>61</v>
      </c>
    </row>
    <row r="6" spans="2:3" x14ac:dyDescent="0.35">
      <c r="B6" t="s">
        <v>68</v>
      </c>
      <c r="C6" t="s">
        <v>61</v>
      </c>
    </row>
    <row r="7" spans="2:3" x14ac:dyDescent="0.35">
      <c r="B7" t="s">
        <v>6</v>
      </c>
      <c r="C7" t="s">
        <v>61</v>
      </c>
    </row>
    <row r="8" spans="2:3" x14ac:dyDescent="0.35">
      <c r="B8" t="s">
        <v>64</v>
      </c>
      <c r="C8" t="s">
        <v>61</v>
      </c>
    </row>
    <row r="9" spans="2:3" x14ac:dyDescent="0.35">
      <c r="B9" t="s">
        <v>60</v>
      </c>
      <c r="C9" t="s">
        <v>58</v>
      </c>
    </row>
    <row r="10" spans="2:3" x14ac:dyDescent="0.35">
      <c r="B10" t="s">
        <v>59</v>
      </c>
      <c r="C10" t="s">
        <v>58</v>
      </c>
    </row>
    <row r="11" spans="2:3" x14ac:dyDescent="0.35">
      <c r="B11" t="s">
        <v>63</v>
      </c>
      <c r="C11" t="s">
        <v>61</v>
      </c>
    </row>
    <row r="12" spans="2:3" x14ac:dyDescent="0.35">
      <c r="B12" t="s">
        <v>70</v>
      </c>
      <c r="C12" t="s">
        <v>55</v>
      </c>
    </row>
    <row r="13" spans="2:3" x14ac:dyDescent="0.35">
      <c r="B13" t="s">
        <v>65</v>
      </c>
      <c r="C13" t="s">
        <v>61</v>
      </c>
    </row>
    <row r="14" spans="2:3" x14ac:dyDescent="0.35">
      <c r="B14" t="s">
        <v>71</v>
      </c>
      <c r="C14" t="s">
        <v>55</v>
      </c>
    </row>
    <row r="15" spans="2:3" x14ac:dyDescent="0.35">
      <c r="B15" t="s">
        <v>66</v>
      </c>
      <c r="C15" t="s">
        <v>61</v>
      </c>
    </row>
    <row r="16" spans="2:3" x14ac:dyDescent="0.35">
      <c r="B16" t="s">
        <v>69</v>
      </c>
      <c r="C16" t="s">
        <v>61</v>
      </c>
    </row>
    <row r="17" spans="2:3" x14ac:dyDescent="0.35">
      <c r="B17" t="s">
        <v>57</v>
      </c>
      <c r="C17" t="s">
        <v>55</v>
      </c>
    </row>
    <row r="18" spans="2:3" x14ac:dyDescent="0.35">
      <c r="B18" t="s">
        <v>56</v>
      </c>
      <c r="C18" t="s">
        <v>55</v>
      </c>
    </row>
  </sheetData>
  <sortState xmlns:xlrd2="http://schemas.microsoft.com/office/spreadsheetml/2017/richdata2" ref="B4:C18">
    <sortCondition ref="B4:B18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f71abe4e-f5ff-49cd-8eff-5f4949acc51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D902CA-3705-43FD-A2FA-6792E8EE024B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2da89b17-aba4-44fc-a2b2-cd16bb399a0c"/>
    <ds:schemaRef ds:uri="http://purl.org/dc/dcmitype/"/>
    <ds:schemaRef ds:uri="http://schemas.openxmlformats.org/package/2006/metadata/core-properties"/>
    <ds:schemaRef ds:uri="7b2ed3cc-027b-4def-ac45-32e72b7c0c82"/>
    <ds:schemaRef ds:uri="http://www.w3.org/XML/1998/namespace"/>
    <ds:schemaRef ds:uri="http://purl.org/dc/elements/1.1/"/>
    <ds:schemaRef ds:uri="cadce026-d35b-4a62-a2ee-1436bb44fb55"/>
    <ds:schemaRef ds:uri="f71abe4e-f5ff-49cd-8eff-5f4949acc510"/>
  </ds:schemaRefs>
</ds:datastoreItem>
</file>

<file path=customXml/itemProps2.xml><?xml version="1.0" encoding="utf-8"?>
<ds:datastoreItem xmlns:ds="http://schemas.openxmlformats.org/officeDocument/2006/customXml" ds:itemID="{6CA8F2D1-E22C-4A97-8416-3DA80C70519C}"/>
</file>

<file path=customXml/itemProps3.xml><?xml version="1.0" encoding="utf-8"?>
<ds:datastoreItem xmlns:ds="http://schemas.openxmlformats.org/officeDocument/2006/customXml" ds:itemID="{927241BE-C1D3-4944-A356-13602A1E4C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New methodology WACM1 (Input)</vt:lpstr>
      <vt:lpstr>New WACM 1 No MTPSTEC</vt:lpstr>
      <vt:lpstr>WACM1 old methodology</vt:lpstr>
      <vt:lpstr>Original</vt:lpstr>
      <vt:lpstr>Original ALF MTPSTEC</vt:lpstr>
      <vt:lpstr>Baseline</vt:lpstr>
      <vt:lpstr>Technology 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Cahill, Martin</dc:creator>
  <cp:lastModifiedBy>Martin Cahill (NESO)</cp:lastModifiedBy>
  <dcterms:created xsi:type="dcterms:W3CDTF">2023-11-24T09:12:10Z</dcterms:created>
  <dcterms:modified xsi:type="dcterms:W3CDTF">2025-04-17T10:47:42Z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  <property fmtid="{D5CDD505-2E9C-101B-9397-08002B2CF9AE}" pid="4" name="MSIP_Label_990c0be1-bb3d-41f4-a01f-ac7e5848c08e_Enabled">
    <vt:lpwstr>true</vt:lpwstr>
  </property>
  <property fmtid="{D5CDD505-2E9C-101B-9397-08002B2CF9AE}" pid="5" name="MSIP_Label_990c0be1-bb3d-41f4-a01f-ac7e5848c08e_SetDate">
    <vt:lpwstr>2024-01-22T12:23:06Z</vt:lpwstr>
  </property>
  <property fmtid="{D5CDD505-2E9C-101B-9397-08002B2CF9AE}" pid="6" name="MSIP_Label_990c0be1-bb3d-41f4-a01f-ac7e5848c08e_Method">
    <vt:lpwstr>Standard</vt:lpwstr>
  </property>
  <property fmtid="{D5CDD505-2E9C-101B-9397-08002B2CF9AE}" pid="7" name="MSIP_Label_990c0be1-bb3d-41f4-a01f-ac7e5848c08e_Name">
    <vt:lpwstr>Restricted</vt:lpwstr>
  </property>
  <property fmtid="{D5CDD505-2E9C-101B-9397-08002B2CF9AE}" pid="8" name="MSIP_Label_990c0be1-bb3d-41f4-a01f-ac7e5848c08e_SiteId">
    <vt:lpwstr>812b1e72-2671-4a1e-bc3f-0519db4e3723</vt:lpwstr>
  </property>
  <property fmtid="{D5CDD505-2E9C-101B-9397-08002B2CF9AE}" pid="9" name="MSIP_Label_990c0be1-bb3d-41f4-a01f-ac7e5848c08e_ActionId">
    <vt:lpwstr>49e32158-e94b-4398-86b9-9a796ece1124</vt:lpwstr>
  </property>
  <property fmtid="{D5CDD505-2E9C-101B-9397-08002B2CF9AE}" pid="10" name="MSIP_Label_990c0be1-bb3d-41f4-a01f-ac7e5848c08e_ContentBits">
    <vt:lpwstr>0</vt:lpwstr>
  </property>
</Properties>
</file>